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696" activeTab="4"/>
  </bookViews>
  <sheets>
    <sheet name="Бензин" sheetId="1" r:id="rId1"/>
    <sheet name="Запчасти" sheetId="2" r:id="rId2"/>
    <sheet name="Работы" sheetId="3" r:id="rId3"/>
    <sheet name="Другое" sheetId="4" r:id="rId4"/>
    <sheet name="Общие расходы" sheetId="5" r:id="rId5"/>
    <sheet name="Диаграмма" sheetId="6" r:id="rId6"/>
    <sheet name="Инструкции" sheetId="7" r:id="rId7"/>
  </sheets>
  <definedNames>
    <definedName name="_xlnm._FilterDatabase" localSheetId="3" hidden="1">'Другое'!$A$1:$E$75</definedName>
    <definedName name="_xlnm._FilterDatabase" localSheetId="1" hidden="1">'Запчасти'!$A$2:$Q$253</definedName>
    <definedName name="_xlnm._FilterDatabase" localSheetId="2" hidden="1">'Работы'!$A$1:$B$171</definedName>
    <definedName name="авгдевять">'Запчасти'!$82:$91</definedName>
    <definedName name="апрдевять">'Запчасти'!$58:$66</definedName>
    <definedName name="декабдевять">'Запчасти'!$102:$102</definedName>
    <definedName name="деквосемь">'Запчасти'!$3:$7</definedName>
    <definedName name="июльдевять">'Запчасти'!$80:$81</definedName>
    <definedName name="июндевять">'Запчасти'!$76:$79</definedName>
    <definedName name="майдевят">'Запчасти'!$67:$75</definedName>
    <definedName name="мартдевять">'Запчасти'!$54:$57</definedName>
    <definedName name="ноябдевять">'Запчасти'!$96:$101</definedName>
    <definedName name="_xlnm.Print_Area" localSheetId="0">'Бензин'!$A$1:$N$57</definedName>
    <definedName name="_xlnm.Print_Area" localSheetId="2">'Работы'!$A:$I</definedName>
    <definedName name="октдевять">'Запчасти'!$93:$95</definedName>
    <definedName name="сентдевять">'Запчасти'!$92:$92</definedName>
    <definedName name="февдевять">'Запчасти'!$50:$53</definedName>
    <definedName name="янвдевять">'Запчасти'!$8:$49</definedName>
    <definedName name="янвдесять">'Запчасти'!$103:$110</definedName>
  </definedNames>
  <calcPr fullCalcOnLoad="1"/>
</workbook>
</file>

<file path=xl/sharedStrings.xml><?xml version="1.0" encoding="utf-8"?>
<sst xmlns="http://schemas.openxmlformats.org/spreadsheetml/2006/main" count="728" uniqueCount="417">
  <si>
    <t>Дата</t>
  </si>
  <si>
    <t>Лит</t>
  </si>
  <si>
    <t>Сумма</t>
  </si>
  <si>
    <t>КМ</t>
  </si>
  <si>
    <t>Пробег</t>
  </si>
  <si>
    <t>Расход</t>
  </si>
  <si>
    <t>Руб/км</t>
  </si>
  <si>
    <t>Дней</t>
  </si>
  <si>
    <t>КМ/день</t>
  </si>
  <si>
    <t>пробег</t>
  </si>
  <si>
    <t>расход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</si>
  <si>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</si>
  <si>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</si>
  <si>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</si>
  <si>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</si>
  <si>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</si>
  <si>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</si>
  <si>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</si>
  <si>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</si>
  <si>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</si>
  <si>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ФЕВ</t>
  </si>
  <si>
    <t>МАР</t>
  </si>
  <si>
    <t>АПР</t>
  </si>
  <si>
    <t>Наименование</t>
  </si>
  <si>
    <t>Ф</t>
  </si>
  <si>
    <t>Примечание</t>
  </si>
  <si>
    <t>+</t>
  </si>
  <si>
    <t>Давность мес.</t>
  </si>
  <si>
    <t>Давность km.</t>
  </si>
  <si>
    <t>Факт сумма</t>
  </si>
  <si>
    <t>НТС (лошади)</t>
  </si>
  <si>
    <t>Бензин</t>
  </si>
  <si>
    <t>Другое</t>
  </si>
  <si>
    <t>Всего (руб)</t>
  </si>
  <si>
    <t>Курс $</t>
  </si>
  <si>
    <t>Всего $</t>
  </si>
  <si>
    <t>Пробег (км)</t>
  </si>
  <si>
    <t>ИТОГО</t>
  </si>
  <si>
    <t>ДОЛЯ:</t>
  </si>
  <si>
    <t>месяц</t>
  </si>
  <si>
    <t>Масло моторное</t>
  </si>
  <si>
    <t>Фильтр масляный</t>
  </si>
  <si>
    <t>Фильтр воздушный</t>
  </si>
  <si>
    <t>Замена ремня ГРМ</t>
  </si>
  <si>
    <t>Замена масла двигателя</t>
  </si>
  <si>
    <t>Замена тормозных колодок (пер)</t>
  </si>
  <si>
    <t>Чистка форсунок инжектора</t>
  </si>
  <si>
    <t>Техосмотр</t>
  </si>
  <si>
    <t>Страховка ГО</t>
  </si>
  <si>
    <t>Работы</t>
  </si>
  <si>
    <t>Замена тормозных колодок (зад)</t>
  </si>
  <si>
    <t>Где</t>
  </si>
  <si>
    <t>Запчасти</t>
  </si>
  <si>
    <t>Замена фильтра воздушного</t>
  </si>
  <si>
    <t>Замена фильтра масляного</t>
  </si>
  <si>
    <t>Замена фильтра топливного</t>
  </si>
  <si>
    <t>Замена свечей зажигания</t>
  </si>
  <si>
    <t>Свечи  зажигания (комплект 4 шт)</t>
  </si>
  <si>
    <t>Проверка концентрации охлаждающей жидкости</t>
  </si>
  <si>
    <t>Проверка работы ручного тормоза</t>
  </si>
  <si>
    <t>Проверка состояния тормозных накладок (пер)</t>
  </si>
  <si>
    <t>Проверка тормозных дисков (пер)</t>
  </si>
  <si>
    <t>Проверка состояния тормозных колодок (зад)</t>
  </si>
  <si>
    <t>Проверка подвески</t>
  </si>
  <si>
    <t>Проверка защитных чехлов и шарниров</t>
  </si>
  <si>
    <t>Развал-схождение</t>
  </si>
  <si>
    <t>Проверка регулировки света фар</t>
  </si>
  <si>
    <t>Смазка петлей и замков</t>
  </si>
  <si>
    <t>Регулировка зазора клапанов</t>
  </si>
  <si>
    <t>Инструкции и комментарии.</t>
  </si>
  <si>
    <t xml:space="preserve"> - другие затраты (все, что угодно: страховка, оплата пошлин и т.п.)</t>
  </si>
  <si>
    <t xml:space="preserve">   Данная система табличек предназначена для учета всевозможных затрат, связанных с эксплуатацией автомобиля.</t>
  </si>
  <si>
    <t xml:space="preserve">   Статистика представлена двумя листами: сводной таблицей затрат, где указываются общие помесячные затраты по видам, и диаграммой.</t>
  </si>
  <si>
    <t xml:space="preserve">   Также есть небольшая адресная книга, куда можно записывать адреса и телефоны магазинов и мастерских.</t>
  </si>
  <si>
    <t>Общие сведения:</t>
  </si>
  <si>
    <t xml:space="preserve">   На основании этих данных будут рассчитаны:</t>
  </si>
  <si>
    <t xml:space="preserve"> - пробег с момента предыдущей заправки</t>
  </si>
  <si>
    <t xml:space="preserve"> - средний расход бензина за этот пробег</t>
  </si>
  <si>
    <t xml:space="preserve"> - средняя стоимость одного километра</t>
  </si>
  <si>
    <t xml:space="preserve"> - количество дней с момента последней заправки</t>
  </si>
  <si>
    <t xml:space="preserve"> - средний пробег в (км) в день</t>
  </si>
  <si>
    <t>1.  Графики и таблицы отформатированы под разрешение 1024х768. Для разрешения 800х600 надо будет подобрать ширину колонок и размер диаграмм.</t>
  </si>
  <si>
    <t>Технические комментарии:</t>
  </si>
  <si>
    <t xml:space="preserve">   Также в отдельной мини-табличке автоматически подсчитываются суммарные пробеги и средние расходы по месяцам.</t>
  </si>
  <si>
    <t>Лист учета бензина:</t>
  </si>
  <si>
    <t>Лист учета запчастей:</t>
  </si>
  <si>
    <t xml:space="preserve">  В этом листе учитываются все купленные запчасти и расходные материалы.</t>
  </si>
  <si>
    <t xml:space="preserve">   Если Вы "прицениваетесь" к какой-то запчасти, Вы можете по мере узнавания цен от различных поставщиков добавлять их в список. Только не ставьте "плюс", тогда система будет знать, что это только "пристрелка". Такие строки выделены серым цветом и курсивом.</t>
  </si>
  <si>
    <t xml:space="preserve">   Позже, просто поставьте "плюс" напротив того поставщика, у которого Вы таки купили запчать.</t>
  </si>
  <si>
    <t>Лист учета работ:</t>
  </si>
  <si>
    <t xml:space="preserve">   Добавить можно только то, что надо указывать показания одометра на момент проведения какой-либо работы.</t>
  </si>
  <si>
    <t xml:space="preserve">   Совет: аналогичный для названий работ: (см. совет для предыдущего листа).</t>
  </si>
  <si>
    <t xml:space="preserve">   Правило "плюсов" тут так же работает.</t>
  </si>
  <si>
    <t xml:space="preserve">   Он так и называется: Другое.</t>
  </si>
  <si>
    <t xml:space="preserve">   Все правила - так же как и в предыдущих листах.</t>
  </si>
  <si>
    <t>Лист "регламент"</t>
  </si>
  <si>
    <t xml:space="preserve">   Все просроченные работы выделяются красным цветом дат.</t>
  </si>
  <si>
    <t>Лист общих расходов:</t>
  </si>
  <si>
    <t>Диаграмма:</t>
  </si>
  <si>
    <t xml:space="preserve"> - пробег по месяцам</t>
  </si>
  <si>
    <t xml:space="preserve">  На встроенной диаграмме показывается структура расходов: какую долю "общего пирога" занимают те или иные расходы.</t>
  </si>
  <si>
    <t>Адресная книга:</t>
  </si>
  <si>
    <t xml:space="preserve"> - стоимость запчастей, комплектующих и расходных материалов</t>
  </si>
  <si>
    <t>Затраты делятся на:</t>
  </si>
  <si>
    <t xml:space="preserve"> - стоимость работ в автосервисе</t>
  </si>
  <si>
    <t xml:space="preserve">   Затраты на ремонт сознательно разнесены на две части запчасти и работы, так как многие из запчастей люди "с руками" ставят самостоятельно или гораздо позже покупки. Если в автосервисе запчасти покупали сами мастера, то все равно лучше разнести "мухи с котлетами".</t>
  </si>
  <si>
    <t xml:space="preserve">   Также есть небольшая система, которая позволяет определить предположительную дату следующей замены или обслуживания отдельных узлов и агрегатов. Система, базируясь на дате последнего обслуживания агрегата и интервале (в км) между обслуживаниями, сама предлагает Вам дату и пробег, при котором агрегат надо будет обслужить в следующий раз.</t>
  </si>
  <si>
    <t xml:space="preserve">      То, с чего обычно все начинают… Здесь все просто: нужно на обратной стороне чека, который Вам выдадут на бензоколонке, не забыть записать показания одометра на момент заправки. Далее, когда Вы доберетесь до компьютера, внесите в ячейки таблички дату заправки, количество литров, стоимость по чеку и пробег.</t>
  </si>
  <si>
    <r>
      <t xml:space="preserve">   Примечание: обратите внимание, что эти данные рассчитываются только для каждой </t>
    </r>
    <r>
      <rPr>
        <i/>
        <u val="single"/>
        <sz val="10"/>
        <rFont val="Arial Cyr"/>
        <family val="2"/>
      </rPr>
      <t>предыдущей</t>
    </r>
    <r>
      <rPr>
        <i/>
        <sz val="10"/>
        <rFont val="Arial Cyr"/>
        <family val="2"/>
      </rPr>
      <t xml:space="preserve"> заправки (если подумать - логично).</t>
    </r>
  </si>
  <si>
    <t xml:space="preserve">   Во второй строке сверху отображаются итоговые цифры </t>
  </si>
  <si>
    <t>Не забудьте поставить "плюс" в колонке "+". Это будет означать, что Вы действительно что-то купили.</t>
  </si>
  <si>
    <t xml:space="preserve">   Данный лист учитывает стоимость работ по установке всего того, что вы отметили как купленное в предыдущем листе ;)</t>
  </si>
  <si>
    <t xml:space="preserve">   Для справки автоматически, исходя из текущей даты и последнего (максимального) пробега вычисляется давность работ (в месяцах и км.) для каждой строки.</t>
  </si>
  <si>
    <t xml:space="preserve">   Здесь можно записывать затраты, напрямую не относящиеся к "железу" но которые все же относятся к затратам на эксплуатацию: страховка и все такое.</t>
  </si>
  <si>
    <t xml:space="preserve"> - среднемесячный расход топлива (лит/100км) (по вспомогательной оси)</t>
  </si>
  <si>
    <t xml:space="preserve">   Здесь можно записать координаты магазинов, мастерских и мастеров.</t>
  </si>
  <si>
    <t>МАРТ</t>
  </si>
  <si>
    <t>АПРЕЛЬ</t>
  </si>
  <si>
    <t>Покупка</t>
  </si>
  <si>
    <t>Замена ролика натяжителя ГРМ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</si>
  <si>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</si>
  <si>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</si>
  <si>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</si>
  <si>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</si>
  <si>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</si>
  <si>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</si>
  <si>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</si>
  <si>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</si>
  <si>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</si>
  <si>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Автомойка</t>
  </si>
  <si>
    <t>Ремень генератора, кондея</t>
  </si>
  <si>
    <t>Замена пыльников приводов внутренних</t>
  </si>
  <si>
    <t>Смазка силиконовая</t>
  </si>
  <si>
    <t>Мастер</t>
  </si>
  <si>
    <t>Замена фильтра салонного</t>
  </si>
  <si>
    <t>Замена ремня кондея, генератора</t>
  </si>
  <si>
    <t>Ст/Л</t>
  </si>
  <si>
    <t>Резинка стеклоочистителя, малая</t>
  </si>
  <si>
    <t>Резинка стеклоочистителя, большая</t>
  </si>
  <si>
    <t>Смазка уплотнений дверей, багажника, капота силиконом</t>
  </si>
  <si>
    <t>Проверка тормозных дисков (зад)</t>
  </si>
  <si>
    <t>Замена резинок стеклоочистителей</t>
  </si>
  <si>
    <t>Чистка дроссельного узла</t>
  </si>
  <si>
    <t>Чистка клапана ХХ</t>
  </si>
  <si>
    <t>Полироль</t>
  </si>
  <si>
    <t>Установка сигнализации</t>
  </si>
  <si>
    <t>Фильтр топливный</t>
  </si>
  <si>
    <t>Присадка к топливу</t>
  </si>
  <si>
    <t>Castrol TBE</t>
  </si>
  <si>
    <t>Замена пыльников приводов наружных</t>
  </si>
  <si>
    <t>Втулки заднего стабилизатора (L и R)</t>
  </si>
  <si>
    <t>Линки заднего стабилизатора (L и R)</t>
  </si>
  <si>
    <t>ХБЗ</t>
  </si>
  <si>
    <t>Резина зимняя безкамерная (4 покрышки)</t>
  </si>
  <si>
    <t>Линки переднего стабилизатора (L и R)</t>
  </si>
  <si>
    <t>Втулки переднего стабилизатора (L и R)</t>
  </si>
  <si>
    <t>Ремень ГРМ</t>
  </si>
  <si>
    <t>Ролик натяжителя ремня ГРМ</t>
  </si>
  <si>
    <t>Замена нижних шаровых опор</t>
  </si>
  <si>
    <t xml:space="preserve">   Затраты становятся реальными после того, как прошло их подтверждение. До этого они считаются предварительными. Это позволяет сначала выяснить цену (возможно, у нескольких поставщиков) и записать ее, а затем, после реальной оплаты, подтвердить, т.е. поставить "+" в соответствующем столбце..</t>
  </si>
  <si>
    <t>Лист учета всего остального:</t>
  </si>
  <si>
    <t xml:space="preserve">   Данный лист служит для того, чтобы Вы не прозевали срок каких-нибудь регламентных работ по различным узлам и агрегатам.</t>
  </si>
  <si>
    <t xml:space="preserve">   Основная Ваша задача - обеспечить точное совпадение по именам в строках этого листа и листа "Работы". Например "Замена фильтра масляного" должно одинаково называться и там и там. Лучше всего это достигается копированием значений из одного листа в другой.</t>
  </si>
  <si>
    <t xml:space="preserve">   Напротив каждой работы надо поставить интервал в километрах. В нашем примере масляный фильтр надо менять каждые 7 000 км.</t>
  </si>
  <si>
    <t xml:space="preserve">   После настройки всех работ нужно нажать на кнопку "Обновить" на листе. При этом запустится макрос, который пробежит по листу "Работа" и найдет, когда она была в последний раз выполнена (может и никогда).</t>
  </si>
  <si>
    <t xml:space="preserve">   Далее, на основании даты последней работы и среднего пробега в день, программа высчитает примерную дату и пробег для следующей работы.</t>
  </si>
  <si>
    <t xml:space="preserve">   Диаграмма наглядно показывает динамику изменения параметров по месяцам. Показываются:</t>
  </si>
  <si>
    <t xml:space="preserve"> - суммарные затраты по месяцам (руб.).</t>
  </si>
  <si>
    <t xml:space="preserve"> - среднемесячные стоимости 1 км в руб.. (по вспомогательной оси)</t>
  </si>
  <si>
    <t>2.  Если будете вставлять в каких-нибудь листах строки в середину, - будьте очень внимательны, поскольку там есть колонки с формулами! Обязательно настройте формулы для новых строк, иначе данные из этих строк не попадут в итоговые таблицы.</t>
  </si>
  <si>
    <t xml:space="preserve">   Каждый раз при покупке сохраняйте чек и пишите на боратной стороне, какой именно товар был куплен по этому чеку. Добравшись до компьютера, внесите дату покупки, наименование запчасти и стоимость. Также полезно указать точную марку или каталожный номер, а так же название магазина.</t>
  </si>
  <si>
    <t xml:space="preserve">   Система работы с листом аналогична системе учета запчастей.</t>
  </si>
  <si>
    <t>Сюда вносятся курс валюты раз в месяц, так же, для наглядности, что именно было закуплено в тот или иной месяц стоят гиперссылки на перечень запчастей помесячно.</t>
  </si>
  <si>
    <t>Все остальное считается само, на основании данных предыдущих листов.</t>
  </si>
  <si>
    <t>Дополнительно выводятся помесячные пробеги и средняя стоимость 1 км в рублях и валюте.</t>
  </si>
  <si>
    <t xml:space="preserve">   Совет: старайтесь при покупке одной и той же запчасти или расходника каждый раз называть ее одинаково. Например, "Жидкость стеклоомывателя". Это позволит Вам поставить "фильтр" по названию и посмотреть, когда, как часто и почем вы покупали данные материалы.Так же, будет удобно ещё и просматривать фото этих запчастей, если вы создадите папку с фото и поставите гиперссылки, на данные фото.</t>
  </si>
  <si>
    <t xml:space="preserve"> - расходы на бензин</t>
  </si>
  <si>
    <t>Чистка контактов крышки трамблера и бегунка</t>
  </si>
  <si>
    <t>Асино, ГазЦентр</t>
  </si>
  <si>
    <t>Фильтр салонный</t>
  </si>
  <si>
    <t>Subaru 20204AC011</t>
  </si>
  <si>
    <t>Томск, Крсноарм. 105, СубаруСервис</t>
  </si>
  <si>
    <t>Трос капроновый</t>
  </si>
  <si>
    <t>Асино, БэДэРэу</t>
  </si>
  <si>
    <t>Антифриз 8л</t>
  </si>
  <si>
    <t>Antifreeze Coolant</t>
  </si>
  <si>
    <t>Асино, Су 24</t>
  </si>
  <si>
    <t>Пистоны для воздухозаборника 2 шт</t>
  </si>
  <si>
    <t>Первомайское, Андрухив</t>
  </si>
  <si>
    <t>Замена уплотнительных колец  форсунок</t>
  </si>
  <si>
    <t>Замена фильтра КПП</t>
  </si>
  <si>
    <t>Аккумулятор</t>
  </si>
  <si>
    <t>Rocket, 55D23L</t>
  </si>
  <si>
    <t>ООО "Аккумуляторы", Иркутский</t>
  </si>
  <si>
    <t>Вода дистилированная, 1,5 л</t>
  </si>
  <si>
    <t>Электролит, плотн 1,29</t>
  </si>
  <si>
    <t>Filtron, B27017PR</t>
  </si>
  <si>
    <t>Subaru Центр Томск, Лазо</t>
  </si>
  <si>
    <t>Резина летняя безкамерная (3 покрышки)</t>
  </si>
  <si>
    <t>Hankook Ventus V8RS</t>
  </si>
  <si>
    <t>Томск, Шинотоп</t>
  </si>
  <si>
    <t>Незамерзайка</t>
  </si>
  <si>
    <t>Держатель сотового</t>
  </si>
  <si>
    <t>Idemitsu Extreme Touring 5W40 SM/CF</t>
  </si>
  <si>
    <t>Vic C-901</t>
  </si>
  <si>
    <t>Пробка радиатора 0,9 Па</t>
  </si>
  <si>
    <t>Subaru</t>
  </si>
  <si>
    <t>KenWood OEM 72311AG000</t>
  </si>
  <si>
    <t>Форумчанин Егор Новосиб</t>
  </si>
  <si>
    <t>ISO конекторы для магнитолы и антены</t>
  </si>
  <si>
    <t>Китайские</t>
  </si>
  <si>
    <t>И-нет магаз к-size.ru</t>
  </si>
  <si>
    <t>Смазка силиконовая 2 балона</t>
  </si>
  <si>
    <t>Асино, у вокзала</t>
  </si>
  <si>
    <t>Лампочка светодиодня подсв. салона</t>
  </si>
  <si>
    <t>Томск, за китайским рынком</t>
  </si>
  <si>
    <t>Шиномонтаж, летняя резина</t>
  </si>
  <si>
    <t>Переобувка на летнюю резину</t>
  </si>
  <si>
    <t>Подкрылок передний правый</t>
  </si>
  <si>
    <t>Резинка заднего стеклоочистителя</t>
  </si>
  <si>
    <t>Subaru 86548-AG080</t>
  </si>
  <si>
    <t>Subaru 59110-AG001</t>
  </si>
  <si>
    <t>CD-MP3 рессивер</t>
  </si>
  <si>
    <t>Pioneer DEH-P5000UB</t>
  </si>
  <si>
    <t>Томск, Крсноарм. 44, Сибвез</t>
  </si>
  <si>
    <t>USB удлинитель экранированный</t>
  </si>
  <si>
    <t>Vivanco CK U18AMAF, 1,8 m</t>
  </si>
  <si>
    <t>Кабель для видеокамер 3,5 джек-&gt;3RCA</t>
  </si>
  <si>
    <t>Vivanco 9/120, 2 m</t>
  </si>
  <si>
    <t>Установка магнитолы</t>
  </si>
  <si>
    <t>Установка подкрылка</t>
  </si>
  <si>
    <t>B27016PR</t>
  </si>
  <si>
    <t>Пульт ДУ</t>
  </si>
  <si>
    <t>Pioneer CD-R30</t>
  </si>
  <si>
    <t>Томск, Иркутский, Спортовары</t>
  </si>
  <si>
    <t>Ремонт покрышки</t>
  </si>
  <si>
    <t>Изготовление запасного ключа</t>
  </si>
  <si>
    <t>Коврик в багажник</t>
  </si>
  <si>
    <t>Ароматик</t>
  </si>
  <si>
    <t>вкус зеленого чая</t>
  </si>
  <si>
    <t>Щетка для кузова</t>
  </si>
  <si>
    <t>типа: шайтан-метла :)</t>
  </si>
  <si>
    <t>Резина летняя безкамерная (1 покрышка)</t>
  </si>
  <si>
    <t xml:space="preserve">Вставка бокс 1DIN </t>
  </si>
  <si>
    <t>для тойоты</t>
  </si>
  <si>
    <t>Вставка 1DIN верхний бардачок</t>
  </si>
  <si>
    <t>Форумчанин mopedos</t>
  </si>
  <si>
    <t>Рамка переходная под 2 DIN с однозон.К/К</t>
  </si>
  <si>
    <t>Знак "Осторожно! Ребенок в машине"</t>
  </si>
  <si>
    <t>Съемник для масло-фильтра</t>
  </si>
  <si>
    <t>Какой то немецкий</t>
  </si>
  <si>
    <t>Union C 801</t>
  </si>
  <si>
    <t xml:space="preserve">Автомойка </t>
  </si>
  <si>
    <t>Фиксатор резьбы</t>
  </si>
  <si>
    <t>Томск, COSMO</t>
  </si>
  <si>
    <t>Переделка фар на евросвет</t>
  </si>
  <si>
    <t>Пистоны разные 5 шт</t>
  </si>
  <si>
    <t>Радар-детектор</t>
  </si>
  <si>
    <t>Crunch Elite</t>
  </si>
  <si>
    <t>Томск, Компстар</t>
  </si>
  <si>
    <t>Авто-держатель под радар-детектор</t>
  </si>
  <si>
    <t>MobilePlanet-002</t>
  </si>
  <si>
    <t>Асино, Евросеть</t>
  </si>
  <si>
    <t>Устранение вмятины на капоте</t>
  </si>
  <si>
    <t>Hankook Ventus V8RS, 215/50/17</t>
  </si>
  <si>
    <t>Hankook Winter i*PIKE, 205/60/16</t>
  </si>
  <si>
    <t>Продал Michelin DRICE за 11 000 руб</t>
  </si>
  <si>
    <t>Разбортовка зимних покрышек</t>
  </si>
  <si>
    <t>Не подошел, отдал отцу</t>
  </si>
  <si>
    <t>Don Deal</t>
  </si>
  <si>
    <t>Carmate</t>
  </si>
  <si>
    <t>автомойка</t>
  </si>
  <si>
    <t>Запах Пихты</t>
  </si>
  <si>
    <t>Первомайское, Трутнев</t>
  </si>
  <si>
    <t>Щетка короткая летняя</t>
  </si>
  <si>
    <t>Салфетки для стекла</t>
  </si>
  <si>
    <t>Переобувка на зимнюю резину</t>
  </si>
  <si>
    <t>Advantech aerodynamic A-18 45 см</t>
  </si>
  <si>
    <t>oem 72880-AG000, MANN CU 2131, Union AC-103-1</t>
  </si>
  <si>
    <t>LYNX Auto LAC-803</t>
  </si>
  <si>
    <t>GoodWill AG 625</t>
  </si>
  <si>
    <t>oem 16546-AA090, AMC SA 062, Vic A-926</t>
  </si>
  <si>
    <t>Vic C-307</t>
  </si>
  <si>
    <t>Томск, Красноармейская 99а</t>
  </si>
  <si>
    <t>Гандоны!!! Втулили не тот фильтр!!! ДВА РАЗА УТОЧНЯЛ!!! Один хуй подсунули фильтр на EZ30</t>
  </si>
  <si>
    <t>Idemitsu Extreme Eco 5W30 SM/CF</t>
  </si>
  <si>
    <t>Ролик с буртом</t>
  </si>
  <si>
    <t>Ролик зубчатый</t>
  </si>
  <si>
    <t>Ролик гладкий</t>
  </si>
  <si>
    <t>Сальник распредвала (2 шт)</t>
  </si>
  <si>
    <t>Сальник коленвала</t>
  </si>
  <si>
    <t>Прокладка свечных колодцев (4 шт)</t>
  </si>
  <si>
    <t>Прокладка клапанной крышки (2 шт)</t>
  </si>
  <si>
    <t>NSK 60TB0648E</t>
  </si>
  <si>
    <t>NSK 59TB0515</t>
  </si>
  <si>
    <t>NSK 60TB0693</t>
  </si>
  <si>
    <t>Прокладка под болт клапанной крышки (16 шт)</t>
  </si>
  <si>
    <t>Subaru 13028-AA230</t>
  </si>
  <si>
    <t>Subaru 806732150</t>
  </si>
  <si>
    <t>Subaru 806733030</t>
  </si>
  <si>
    <t>Subaru 10966-AA000</t>
  </si>
  <si>
    <t>Subaru 13294-AA053</t>
  </si>
  <si>
    <t>Subaru 13271-AA071</t>
  </si>
  <si>
    <t>Томск, Автоаксессуары</t>
  </si>
  <si>
    <t>Лампочка светодиодная в габарит (2шт)</t>
  </si>
  <si>
    <t>Valvoline Syn Power 5W40</t>
  </si>
  <si>
    <t>Subaru 13033-AA042 (NTN)</t>
  </si>
  <si>
    <t>Какой то японский зеленый</t>
  </si>
  <si>
    <t>Карамель</t>
  </si>
  <si>
    <t>С запахом елки</t>
  </si>
  <si>
    <t>Силиконовый прозрачный матовый</t>
  </si>
  <si>
    <t>W5W, свет белый</t>
  </si>
  <si>
    <t>Продал автолюльку за 2000</t>
  </si>
  <si>
    <t>Штамповка 15"</t>
  </si>
  <si>
    <t>Шины летние</t>
  </si>
  <si>
    <t>Barguzin 205/70 R15</t>
  </si>
  <si>
    <t>baza.drom.ru</t>
  </si>
  <si>
    <t>Привод передний левый</t>
  </si>
  <si>
    <t>Контракт</t>
  </si>
  <si>
    <t>Карплаза</t>
  </si>
  <si>
    <t>Провод высоковольтный  правый</t>
  </si>
  <si>
    <t>Йокогама</t>
  </si>
  <si>
    <t>Пыльник стойки задний</t>
  </si>
  <si>
    <t>Отбойник стойки задний</t>
  </si>
  <si>
    <t>Фабричная,12</t>
  </si>
  <si>
    <t>Аптечка</t>
  </si>
  <si>
    <t>Кенгурин</t>
  </si>
  <si>
    <t>Drom, Yakut54</t>
  </si>
  <si>
    <t>Titan Arctic 75A/h</t>
  </si>
  <si>
    <t>Автоград, киоск 6-1, Максим</t>
  </si>
  <si>
    <t>ГиГант</t>
  </si>
  <si>
    <t>Mobil Super3000</t>
  </si>
  <si>
    <t>Установка привода переднего правого</t>
  </si>
  <si>
    <t>Олег С.М.</t>
  </si>
  <si>
    <t>ОСАГО</t>
  </si>
  <si>
    <t>ТН</t>
  </si>
  <si>
    <t>Subaru 16546AA020</t>
  </si>
  <si>
    <t>Shina54.ru</t>
  </si>
  <si>
    <t>Mobil 5w40</t>
  </si>
  <si>
    <t>ХондаСАН</t>
  </si>
  <si>
    <t>Продал Баргузин за 2500</t>
  </si>
  <si>
    <t>Yokogama Geolandar G012</t>
  </si>
  <si>
    <t>Стойки передние</t>
  </si>
  <si>
    <t>Маша</t>
  </si>
  <si>
    <t>ngs.ru Gorynych</t>
  </si>
  <si>
    <t>Subaru 20371FC000</t>
  </si>
  <si>
    <t>2 черных диска</t>
  </si>
  <si>
    <t>Защита картера</t>
  </si>
  <si>
    <t>стальная ~3мм</t>
  </si>
  <si>
    <t>myforester.ru, economist</t>
  </si>
  <si>
    <t>Drom</t>
  </si>
  <si>
    <t>Vic C-902</t>
  </si>
  <si>
    <t>Установил летнюю Йокогаму</t>
  </si>
  <si>
    <t>Диагностика</t>
  </si>
  <si>
    <t>Антигравий Хорс</t>
  </si>
  <si>
    <t xml:space="preserve">KYB </t>
  </si>
  <si>
    <t>Ремонт бампера висты</t>
  </si>
  <si>
    <t>Стоянка</t>
  </si>
  <si>
    <t>ДСАГО</t>
  </si>
  <si>
    <t>NGK BKR5</t>
  </si>
  <si>
    <t>Сайлентблок переднего рычага</t>
  </si>
  <si>
    <t>exist.ru</t>
  </si>
  <si>
    <t>Subaru Parts, Фрунзе напротив заправки Газпромнефть</t>
  </si>
  <si>
    <t>Клипса</t>
  </si>
  <si>
    <t>В задний бампер</t>
  </si>
  <si>
    <t>Автомагазин на Горской</t>
  </si>
  <si>
    <t>Крепление аккумулятора</t>
  </si>
  <si>
    <t>Замена Гелевого сайлента</t>
  </si>
  <si>
    <t>Замена передних стоек</t>
  </si>
  <si>
    <t>subaru.nsk.ru</t>
  </si>
  <si>
    <t>Прокладки клапанных крышек</t>
  </si>
  <si>
    <t>Хонда Сан</t>
  </si>
  <si>
    <t>Стойка передняя правая</t>
  </si>
  <si>
    <t>продал старую стойку</t>
  </si>
  <si>
    <t>Лихолат</t>
  </si>
  <si>
    <t>Колпаки 3 шт</t>
  </si>
  <si>
    <t>15"</t>
  </si>
  <si>
    <t xml:space="preserve">НГС Автофорум Paul Duke </t>
  </si>
  <si>
    <t xml:space="preserve">Шрус передний внешний </t>
  </si>
  <si>
    <t>NKN N8106-2H</t>
  </si>
  <si>
    <t>Фары передние (L+R)</t>
  </si>
  <si>
    <t>Субарыч1, форум НГС</t>
  </si>
  <si>
    <t>Замена Внешнего шруса (передний правый)</t>
  </si>
  <si>
    <t>Субару Бокс, Комбинатская 1</t>
  </si>
  <si>
    <t>Хомут винтовой</t>
  </si>
  <si>
    <t>Водопроводный магазин на пл Станиславского</t>
  </si>
  <si>
    <t>Компенсация бензина</t>
  </si>
  <si>
    <t>Всего</t>
  </si>
  <si>
    <t>Установил зимний Купер</t>
  </si>
  <si>
    <t>Балансировка Купера</t>
  </si>
  <si>
    <t>Быков и Сыновья</t>
  </si>
  <si>
    <t>Titan 5w30 5л</t>
  </si>
  <si>
    <t>Filimon</t>
  </si>
  <si>
    <t>Лампы H4</t>
  </si>
  <si>
    <t>Ротация колес</t>
  </si>
  <si>
    <t>Снятие данных Пузыня</t>
  </si>
  <si>
    <t>VIC A-243V</t>
  </si>
  <si>
    <t>VIC C-902</t>
  </si>
  <si>
    <t>Mannol P43t (202013SCT) +30%</t>
  </si>
  <si>
    <t>Поперечины на рейлинги</t>
  </si>
  <si>
    <t>BigSerge www.myforestr.ru</t>
  </si>
  <si>
    <t>Expert</t>
  </si>
  <si>
    <t>Лента</t>
  </si>
  <si>
    <t>Антифриз 1л</t>
  </si>
  <si>
    <t>Красный</t>
  </si>
  <si>
    <t>Fuji</t>
  </si>
  <si>
    <t>Видеорегистратор</t>
  </si>
  <si>
    <t>Компрессор Беркут R17</t>
  </si>
  <si>
    <t>Штамповка 15" 2шт</t>
  </si>
  <si>
    <t>Штамповка 15" 1шт продал</t>
  </si>
  <si>
    <t>Ступица FR</t>
  </si>
  <si>
    <t>Hokkaido Петухова</t>
  </si>
  <si>
    <t>90-110</t>
  </si>
  <si>
    <t>Автозапчасти на троллейной</t>
  </si>
  <si>
    <t>Замена тормозного диска и колодок</t>
  </si>
  <si>
    <t>Автокресл</t>
  </si>
  <si>
    <t>Автолюлька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</si>
</sst>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d/m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#,##0.00_р_.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d/m/yy"/>
    <numFmt numFmtId="178" formatCode="mmm/yyyy"/>
    <numFmt numFmtId="179" formatCode="mmm\-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8"/>
      <color indexed="22"/>
      <name val="Arial Cyr"/>
      <family val="2"/>
    </font>
    <font>
      <i/>
      <sz val="10"/>
      <color indexed="55"/>
      <name val="Arial Cyr"/>
      <family val="2"/>
    </font>
    <font>
      <b/>
      <sz val="8"/>
      <name val="Arial Cyr"/>
      <family val="2"/>
    </font>
    <font>
      <b/>
      <sz val="8"/>
      <color indexed="22"/>
      <name val="Arial Cyr"/>
      <family val="2"/>
    </font>
    <font>
      <sz val="10"/>
      <name val="Courier New Cyr"/>
      <family val="3"/>
    </font>
    <font>
      <sz val="6"/>
      <name val="Arial Cyr"/>
      <family val="2"/>
    </font>
    <font>
      <sz val="8"/>
      <name val="Courier New Cyr"/>
      <family val="3"/>
    </font>
    <font>
      <b/>
      <sz val="20"/>
      <name val="Arial Cyr"/>
      <family val="2"/>
    </font>
    <font>
      <b/>
      <u val="single"/>
      <sz val="10"/>
      <name val="Arial Cyr"/>
      <family val="2"/>
    </font>
    <font>
      <i/>
      <sz val="10"/>
      <name val="Arial Cyr"/>
      <family val="2"/>
    </font>
    <font>
      <i/>
      <u val="single"/>
      <sz val="10"/>
      <name val="Arial Cyr"/>
      <family val="2"/>
    </font>
    <font>
      <sz val="9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48"/>
      <name val="Arial Cyr"/>
      <family val="0"/>
    </font>
    <font>
      <sz val="10"/>
      <name val="Times New Roman"/>
      <family val="1"/>
    </font>
    <font>
      <sz val="10"/>
      <color indexed="12"/>
      <name val="Arial Cyr"/>
      <family val="0"/>
    </font>
    <font>
      <sz val="19.25"/>
      <color indexed="8"/>
      <name val="Arial Cyr"/>
      <family val="0"/>
    </font>
    <font>
      <sz val="8"/>
      <color indexed="8"/>
      <name val="Arial Cyr"/>
      <family val="0"/>
    </font>
    <font>
      <sz val="9.2"/>
      <color indexed="8"/>
      <name val="Arial Cyr"/>
      <family val="0"/>
    </font>
    <font>
      <sz val="5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.25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4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166" fontId="1" fillId="33" borderId="10" xfId="0" applyNumberFormat="1" applyFont="1" applyFill="1" applyBorder="1" applyAlignment="1">
      <alignment/>
    </xf>
    <xf numFmtId="167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2" fontId="1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2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3" fontId="5" fillId="33" borderId="10" xfId="0" applyNumberFormat="1" applyFont="1" applyFill="1" applyBorder="1" applyAlignment="1">
      <alignment horizontal="center" wrapText="1"/>
    </xf>
    <xf numFmtId="164" fontId="6" fillId="33" borderId="10" xfId="0" applyNumberFormat="1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9" fontId="0" fillId="0" borderId="10" xfId="57" applyFont="1" applyBorder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9" fillId="33" borderId="10" xfId="0" applyFont="1" applyFill="1" applyBorder="1" applyAlignment="1">
      <alignment/>
    </xf>
    <xf numFmtId="167" fontId="0" fillId="0" borderId="10" xfId="0" applyNumberFormat="1" applyBorder="1" applyAlignment="1">
      <alignment/>
    </xf>
    <xf numFmtId="14" fontId="1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2" fontId="0" fillId="0" borderId="10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2" fontId="0" fillId="0" borderId="14" xfId="0" applyNumberFormat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34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2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15" fillId="0" borderId="0" xfId="42" applyAlignment="1" applyProtection="1">
      <alignment/>
      <protection/>
    </xf>
    <xf numFmtId="49" fontId="15" fillId="0" borderId="10" xfId="42" applyNumberFormat="1" applyFill="1" applyBorder="1" applyAlignment="1" applyProtection="1">
      <alignment/>
      <protection locked="0"/>
    </xf>
    <xf numFmtId="49" fontId="0" fillId="0" borderId="10" xfId="42" applyNumberFormat="1" applyFont="1" applyFill="1" applyBorder="1" applyAlignment="1" applyProtection="1">
      <alignment/>
      <protection locked="0"/>
    </xf>
    <xf numFmtId="49" fontId="15" fillId="0" borderId="10" xfId="42" applyNumberFormat="1" applyFont="1" applyFill="1" applyBorder="1" applyAlignment="1" applyProtection="1">
      <alignment/>
      <protection locked="0"/>
    </xf>
    <xf numFmtId="49" fontId="15" fillId="0" borderId="10" xfId="42" applyNumberForma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49" fontId="15" fillId="0" borderId="10" xfId="42" applyNumberFormat="1" applyFont="1" applyBorder="1" applyAlignment="1" applyProtection="1">
      <alignment/>
      <protection locked="0"/>
    </xf>
    <xf numFmtId="49" fontId="15" fillId="0" borderId="14" xfId="42" applyNumberFormat="1" applyBorder="1" applyAlignment="1" applyProtection="1">
      <alignment/>
      <protection locked="0"/>
    </xf>
    <xf numFmtId="49" fontId="0" fillId="0" borderId="14" xfId="42" applyNumberFormat="1" applyFont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2" fontId="0" fillId="0" borderId="14" xfId="0" applyNumberFormat="1" applyFill="1" applyBorder="1" applyAlignment="1" applyProtection="1">
      <alignment horizontal="center"/>
      <protection locked="0"/>
    </xf>
    <xf numFmtId="49" fontId="15" fillId="0" borderId="14" xfId="42" applyNumberFormat="1" applyFill="1" applyBorder="1" applyAlignment="1" applyProtection="1">
      <alignment/>
      <protection locked="0"/>
    </xf>
    <xf numFmtId="49" fontId="0" fillId="0" borderId="14" xfId="42" applyNumberFormat="1" applyFont="1" applyFill="1" applyBorder="1" applyAlignment="1" applyProtection="1">
      <alignment/>
      <protection locked="0"/>
    </xf>
    <xf numFmtId="49" fontId="15" fillId="0" borderId="14" xfId="42" applyNumberFormat="1" applyFont="1" applyFill="1" applyBorder="1" applyAlignment="1" applyProtection="1">
      <alignment/>
      <protection locked="0"/>
    </xf>
    <xf numFmtId="49" fontId="19" fillId="0" borderId="14" xfId="42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14" fontId="1" fillId="0" borderId="14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12" fontId="1" fillId="0" borderId="14" xfId="0" applyNumberFormat="1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/>
      <protection locked="0"/>
    </xf>
    <xf numFmtId="49" fontId="1" fillId="0" borderId="14" xfId="0" applyNumberFormat="1" applyFont="1" applyFill="1" applyBorder="1" applyAlignment="1" applyProtection="1">
      <alignment/>
      <protection locked="0"/>
    </xf>
    <xf numFmtId="164" fontId="1" fillId="0" borderId="14" xfId="0" applyNumberFormat="1" applyFont="1" applyFill="1" applyBorder="1" applyAlignment="1" applyProtection="1">
      <alignment/>
      <protection locked="0"/>
    </xf>
    <xf numFmtId="12" fontId="1" fillId="0" borderId="14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0" fontId="15" fillId="0" borderId="0" xfId="42" applyFont="1" applyAlignment="1" applyProtection="1">
      <alignment/>
      <protection/>
    </xf>
    <xf numFmtId="14" fontId="0" fillId="35" borderId="10" xfId="0" applyNumberFormat="1" applyFill="1" applyBorder="1" applyAlignment="1" applyProtection="1">
      <alignment/>
      <protection locked="0"/>
    </xf>
    <xf numFmtId="49" fontId="0" fillId="0" borderId="11" xfId="42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12" fontId="0" fillId="0" borderId="17" xfId="0" applyNumberFormat="1" applyBorder="1" applyAlignment="1">
      <alignment horizontal="center"/>
    </xf>
    <xf numFmtId="12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15" fillId="0" borderId="12" xfId="42" applyBorder="1" applyAlignment="1" applyProtection="1">
      <alignment/>
      <protection/>
    </xf>
    <xf numFmtId="0" fontId="15" fillId="0" borderId="19" xfId="42" applyBorder="1" applyAlignment="1" applyProtection="1">
      <alignment/>
      <protection/>
    </xf>
    <xf numFmtId="0" fontId="15" fillId="0" borderId="10" xfId="42" applyBorder="1" applyAlignment="1" applyProtection="1">
      <alignment/>
      <protection/>
    </xf>
    <xf numFmtId="3" fontId="15" fillId="0" borderId="10" xfId="42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36" borderId="10" xfId="0" applyNumberFormat="1" applyFill="1" applyBorder="1" applyAlignment="1" applyProtection="1">
      <alignment/>
      <protection locked="0"/>
    </xf>
    <xf numFmtId="0" fontId="15" fillId="0" borderId="11" xfId="42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34" borderId="10" xfId="0" applyNumberFormat="1" applyFill="1" applyBorder="1" applyAlignment="1" applyProtection="1">
      <alignment/>
      <protection locked="0"/>
    </xf>
    <xf numFmtId="167" fontId="0" fillId="0" borderId="10" xfId="0" applyNumberFormat="1" applyFill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3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3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7" fillId="0" borderId="20" xfId="0" applyFont="1" applyBorder="1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 val="0"/>
        <i/>
        <color indexed="55"/>
      </font>
    </dxf>
    <dxf>
      <font>
        <b val="0"/>
        <i/>
        <color indexed="55"/>
      </font>
    </dxf>
    <dxf>
      <font>
        <b val="0"/>
        <i/>
        <color indexed="55"/>
      </font>
    </dxf>
    <dxf>
      <font>
        <b val="0"/>
        <i/>
        <color indexed="55"/>
      </font>
    </dxf>
    <dxf>
      <font>
        <b val="0"/>
        <i/>
        <color indexed="55"/>
      </font>
    </dxf>
    <dxf>
      <font>
        <b val="0"/>
        <i/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Структура расходов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47175"/>
          <c:w val="0.455"/>
          <c:h val="0.19875"/>
        </c:manualLayout>
      </c:layout>
      <c:pie3DChart>
        <c:varyColors val="1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'Общие расходы'!$B$1:$E$1</c:f>
              <c:strCache>
                <c:ptCount val="4"/>
                <c:pt idx="0">
                  <c:v>Бензин</c:v>
                </c:pt>
                <c:pt idx="1">
                  <c:v>Запчасти</c:v>
                </c:pt>
                <c:pt idx="2">
                  <c:v>Работы</c:v>
                </c:pt>
                <c:pt idx="3">
                  <c:v>Другое</c:v>
                </c:pt>
              </c:strCache>
            </c:strRef>
          </c:cat>
          <c:val>
            <c:numRef>
              <c:f>'Общие расходы'!$B$39:$E$39</c:f>
              <c:numCache>
                <c:ptCount val="4"/>
                <c:pt idx="0">
                  <c:v>44327.082200000004</c:v>
                </c:pt>
                <c:pt idx="1">
                  <c:v>29694.5</c:v>
                </c:pt>
                <c:pt idx="2">
                  <c:v>5209</c:v>
                </c:pt>
                <c:pt idx="3">
                  <c:v>21713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82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'Общие расходы'!$B$1</c:f>
              <c:strCache>
                <c:ptCount val="1"/>
                <c:pt idx="0">
                  <c:v>Бензин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расходы'!$A$2:$A$38</c:f>
              <c:strCache>
                <c:ptCount val="37"/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ЯНВ</c:v>
                </c:pt>
                <c:pt idx="14">
                  <c:v>ФЕВ</c:v>
                </c:pt>
                <c:pt idx="15">
                  <c:v>МАР</c:v>
                </c:pt>
                <c:pt idx="16">
                  <c:v>АПР</c:v>
                </c:pt>
                <c:pt idx="17">
                  <c:v>МАЙ</c:v>
                </c:pt>
                <c:pt idx="18">
                  <c:v>ИЮН</c:v>
                </c:pt>
                <c:pt idx="19">
                  <c:v>ИЮЛ</c:v>
                </c:pt>
                <c:pt idx="20">
                  <c:v>АВГ</c:v>
                </c:pt>
                <c:pt idx="21">
                  <c:v>СЕН</c:v>
                </c:pt>
                <c:pt idx="22">
                  <c:v>ОКТ</c:v>
                </c:pt>
                <c:pt idx="23">
                  <c:v>НОЯ</c:v>
                </c:pt>
                <c:pt idx="24">
                  <c:v>ДЕК</c:v>
                </c:pt>
                <c:pt idx="25">
                  <c:v>ЯНВ</c:v>
                </c:pt>
                <c:pt idx="26">
                  <c:v>ФЕВ</c:v>
                </c:pt>
                <c:pt idx="27">
                  <c:v>МАР</c:v>
                </c:pt>
                <c:pt idx="28">
                  <c:v>АПР</c:v>
                </c:pt>
                <c:pt idx="29">
                  <c:v>МАЙ</c:v>
                </c:pt>
                <c:pt idx="30">
                  <c:v>ИЮН</c:v>
                </c:pt>
                <c:pt idx="31">
                  <c:v>ИЮЛ</c:v>
                </c:pt>
                <c:pt idx="32">
                  <c:v>АВГ</c:v>
                </c:pt>
                <c:pt idx="33">
                  <c:v>СЕН</c:v>
                </c:pt>
                <c:pt idx="34">
                  <c:v>ОКТ</c:v>
                </c:pt>
                <c:pt idx="35">
                  <c:v>НОЯ</c:v>
                </c:pt>
                <c:pt idx="36">
                  <c:v>ДЕК</c:v>
                </c:pt>
              </c:strCache>
            </c:strRef>
          </c:cat>
          <c:val>
            <c:numRef>
              <c:f>'Общие расходы'!$B$2:$B$38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900</c:v>
                </c:pt>
                <c:pt idx="15">
                  <c:v>4195</c:v>
                </c:pt>
                <c:pt idx="16">
                  <c:v>2700</c:v>
                </c:pt>
                <c:pt idx="17">
                  <c:v>3750</c:v>
                </c:pt>
                <c:pt idx="18">
                  <c:v>3270</c:v>
                </c:pt>
                <c:pt idx="19">
                  <c:v>7358.2</c:v>
                </c:pt>
                <c:pt idx="20">
                  <c:v>3474.9</c:v>
                </c:pt>
                <c:pt idx="21">
                  <c:v>2260</c:v>
                </c:pt>
                <c:pt idx="22">
                  <c:v>2024.99</c:v>
                </c:pt>
                <c:pt idx="23">
                  <c:v>2720.004</c:v>
                </c:pt>
                <c:pt idx="24">
                  <c:v>1899.5</c:v>
                </c:pt>
                <c:pt idx="25">
                  <c:v>4707.999</c:v>
                </c:pt>
                <c:pt idx="26">
                  <c:v>4966.499199999999</c:v>
                </c:pt>
                <c:pt idx="27">
                  <c:v>999.99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4"/>
          <c:order val="4"/>
          <c:tx>
            <c:strRef>
              <c:f>'Общие расходы'!$C$1</c:f>
              <c:strCache>
                <c:ptCount val="1"/>
                <c:pt idx="0">
                  <c:v>Запчасти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расходы'!$A$2:$A$38</c:f>
              <c:strCache>
                <c:ptCount val="37"/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ЯНВ</c:v>
                </c:pt>
                <c:pt idx="14">
                  <c:v>ФЕВ</c:v>
                </c:pt>
                <c:pt idx="15">
                  <c:v>МАР</c:v>
                </c:pt>
                <c:pt idx="16">
                  <c:v>АПР</c:v>
                </c:pt>
                <c:pt idx="17">
                  <c:v>МАЙ</c:v>
                </c:pt>
                <c:pt idx="18">
                  <c:v>ИЮН</c:v>
                </c:pt>
                <c:pt idx="19">
                  <c:v>ИЮЛ</c:v>
                </c:pt>
                <c:pt idx="20">
                  <c:v>АВГ</c:v>
                </c:pt>
                <c:pt idx="21">
                  <c:v>СЕН</c:v>
                </c:pt>
                <c:pt idx="22">
                  <c:v>ОКТ</c:v>
                </c:pt>
                <c:pt idx="23">
                  <c:v>НОЯ</c:v>
                </c:pt>
                <c:pt idx="24">
                  <c:v>ДЕК</c:v>
                </c:pt>
                <c:pt idx="25">
                  <c:v>ЯНВ</c:v>
                </c:pt>
                <c:pt idx="26">
                  <c:v>ФЕВ</c:v>
                </c:pt>
                <c:pt idx="27">
                  <c:v>МАР</c:v>
                </c:pt>
                <c:pt idx="28">
                  <c:v>АПР</c:v>
                </c:pt>
                <c:pt idx="29">
                  <c:v>МАЙ</c:v>
                </c:pt>
                <c:pt idx="30">
                  <c:v>ИЮН</c:v>
                </c:pt>
                <c:pt idx="31">
                  <c:v>ИЮЛ</c:v>
                </c:pt>
                <c:pt idx="32">
                  <c:v>АВГ</c:v>
                </c:pt>
                <c:pt idx="33">
                  <c:v>СЕН</c:v>
                </c:pt>
                <c:pt idx="34">
                  <c:v>ОКТ</c:v>
                </c:pt>
                <c:pt idx="35">
                  <c:v>НОЯ</c:v>
                </c:pt>
                <c:pt idx="36">
                  <c:v>ДЕК</c:v>
                </c:pt>
              </c:strCache>
            </c:strRef>
          </c:cat>
          <c:val>
            <c:numRef>
              <c:f>'Общие расходы'!$C$2:$C$38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5000</c:v>
                </c:pt>
                <c:pt idx="6">
                  <c:v>200</c:v>
                </c:pt>
                <c:pt idx="7">
                  <c:v>4250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950</c:v>
                </c:pt>
                <c:pt idx="12">
                  <c:v>0</c:v>
                </c:pt>
                <c:pt idx="13">
                  <c:v>3810</c:v>
                </c:pt>
                <c:pt idx="14">
                  <c:v>0</c:v>
                </c:pt>
                <c:pt idx="15">
                  <c:v>12440</c:v>
                </c:pt>
                <c:pt idx="16">
                  <c:v>129</c:v>
                </c:pt>
                <c:pt idx="17">
                  <c:v>1059</c:v>
                </c:pt>
                <c:pt idx="18">
                  <c:v>5642</c:v>
                </c:pt>
                <c:pt idx="19">
                  <c:v>4493.5</c:v>
                </c:pt>
                <c:pt idx="20">
                  <c:v>0</c:v>
                </c:pt>
                <c:pt idx="21">
                  <c:v>100</c:v>
                </c:pt>
                <c:pt idx="22">
                  <c:v>1969</c:v>
                </c:pt>
                <c:pt idx="23">
                  <c:v>299</c:v>
                </c:pt>
                <c:pt idx="24">
                  <c:v>2135</c:v>
                </c:pt>
                <c:pt idx="25">
                  <c:v>209</c:v>
                </c:pt>
                <c:pt idx="26">
                  <c:v>1219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strRef>
              <c:f>'Общие расходы'!$D$1</c:f>
              <c:strCache>
                <c:ptCount val="1"/>
                <c:pt idx="0">
                  <c:v>Работы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расходы'!$A$2:$A$38</c:f>
              <c:strCache>
                <c:ptCount val="37"/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ЯНВ</c:v>
                </c:pt>
                <c:pt idx="14">
                  <c:v>ФЕВ</c:v>
                </c:pt>
                <c:pt idx="15">
                  <c:v>МАР</c:v>
                </c:pt>
                <c:pt idx="16">
                  <c:v>АПР</c:v>
                </c:pt>
                <c:pt idx="17">
                  <c:v>МАЙ</c:v>
                </c:pt>
                <c:pt idx="18">
                  <c:v>ИЮН</c:v>
                </c:pt>
                <c:pt idx="19">
                  <c:v>ИЮЛ</c:v>
                </c:pt>
                <c:pt idx="20">
                  <c:v>АВГ</c:v>
                </c:pt>
                <c:pt idx="21">
                  <c:v>СЕН</c:v>
                </c:pt>
                <c:pt idx="22">
                  <c:v>ОКТ</c:v>
                </c:pt>
                <c:pt idx="23">
                  <c:v>НОЯ</c:v>
                </c:pt>
                <c:pt idx="24">
                  <c:v>ДЕК</c:v>
                </c:pt>
                <c:pt idx="25">
                  <c:v>ЯНВ</c:v>
                </c:pt>
                <c:pt idx="26">
                  <c:v>ФЕВ</c:v>
                </c:pt>
                <c:pt idx="27">
                  <c:v>МАР</c:v>
                </c:pt>
                <c:pt idx="28">
                  <c:v>АПР</c:v>
                </c:pt>
                <c:pt idx="29">
                  <c:v>МАЙ</c:v>
                </c:pt>
                <c:pt idx="30">
                  <c:v>ИЮН</c:v>
                </c:pt>
                <c:pt idx="31">
                  <c:v>ИЮЛ</c:v>
                </c:pt>
                <c:pt idx="32">
                  <c:v>АВГ</c:v>
                </c:pt>
                <c:pt idx="33">
                  <c:v>СЕН</c:v>
                </c:pt>
                <c:pt idx="34">
                  <c:v>ОКТ</c:v>
                </c:pt>
                <c:pt idx="35">
                  <c:v>НОЯ</c:v>
                </c:pt>
                <c:pt idx="36">
                  <c:v>ДЕК</c:v>
                </c:pt>
              </c:strCache>
            </c:strRef>
          </c:cat>
          <c:val>
            <c:numRef>
              <c:f>'Общие расходы'!$D$2:$D$38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500</c:v>
                </c:pt>
                <c:pt idx="18">
                  <c:v>0</c:v>
                </c:pt>
                <c:pt idx="19">
                  <c:v>3499</c:v>
                </c:pt>
                <c:pt idx="20">
                  <c:v>200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610</c:v>
                </c:pt>
                <c:pt idx="25">
                  <c:v>100</c:v>
                </c:pt>
                <c:pt idx="26">
                  <c:v>0</c:v>
                </c:pt>
                <c:pt idx="27">
                  <c:v>300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6"/>
          <c:order val="6"/>
          <c:tx>
            <c:strRef>
              <c:f>'Общие расходы'!$E$1</c:f>
              <c:strCache>
                <c:ptCount val="1"/>
                <c:pt idx="0">
                  <c:v>Другое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расходы'!$A$2:$A$38</c:f>
              <c:strCache>
                <c:ptCount val="37"/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ЯНВ</c:v>
                </c:pt>
                <c:pt idx="14">
                  <c:v>ФЕВ</c:v>
                </c:pt>
                <c:pt idx="15">
                  <c:v>МАР</c:v>
                </c:pt>
                <c:pt idx="16">
                  <c:v>АПР</c:v>
                </c:pt>
                <c:pt idx="17">
                  <c:v>МАЙ</c:v>
                </c:pt>
                <c:pt idx="18">
                  <c:v>ИЮН</c:v>
                </c:pt>
                <c:pt idx="19">
                  <c:v>ИЮЛ</c:v>
                </c:pt>
                <c:pt idx="20">
                  <c:v>АВГ</c:v>
                </c:pt>
                <c:pt idx="21">
                  <c:v>СЕН</c:v>
                </c:pt>
                <c:pt idx="22">
                  <c:v>ОКТ</c:v>
                </c:pt>
                <c:pt idx="23">
                  <c:v>НОЯ</c:v>
                </c:pt>
                <c:pt idx="24">
                  <c:v>ДЕК</c:v>
                </c:pt>
                <c:pt idx="25">
                  <c:v>ЯНВ</c:v>
                </c:pt>
                <c:pt idx="26">
                  <c:v>ФЕВ</c:v>
                </c:pt>
                <c:pt idx="27">
                  <c:v>МАР</c:v>
                </c:pt>
                <c:pt idx="28">
                  <c:v>АПР</c:v>
                </c:pt>
                <c:pt idx="29">
                  <c:v>МАЙ</c:v>
                </c:pt>
                <c:pt idx="30">
                  <c:v>ИЮН</c:v>
                </c:pt>
                <c:pt idx="31">
                  <c:v>ИЮЛ</c:v>
                </c:pt>
                <c:pt idx="32">
                  <c:v>АВГ</c:v>
                </c:pt>
                <c:pt idx="33">
                  <c:v>СЕН</c:v>
                </c:pt>
                <c:pt idx="34">
                  <c:v>ОКТ</c:v>
                </c:pt>
                <c:pt idx="35">
                  <c:v>НОЯ</c:v>
                </c:pt>
                <c:pt idx="36">
                  <c:v>ДЕК</c:v>
                </c:pt>
              </c:strCache>
            </c:strRef>
          </c:cat>
          <c:val>
            <c:numRef>
              <c:f>'Общие расходы'!$E$2:$E$38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4000</c:v>
                </c:pt>
                <c:pt idx="13">
                  <c:v>0</c:v>
                </c:pt>
                <c:pt idx="14">
                  <c:v>1370</c:v>
                </c:pt>
                <c:pt idx="15">
                  <c:v>0</c:v>
                </c:pt>
                <c:pt idx="16">
                  <c:v>2800</c:v>
                </c:pt>
                <c:pt idx="17">
                  <c:v>0</c:v>
                </c:pt>
                <c:pt idx="18">
                  <c:v>3370</c:v>
                </c:pt>
                <c:pt idx="19">
                  <c:v>3903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2470</c:v>
                </c:pt>
                <c:pt idx="24">
                  <c:v>2500</c:v>
                </c:pt>
                <c:pt idx="25">
                  <c:v>3000</c:v>
                </c:pt>
                <c:pt idx="26">
                  <c:v>3610</c:v>
                </c:pt>
                <c:pt idx="27">
                  <c:v>60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overlap val="100"/>
        <c:gapWidth val="50"/>
        <c:axId val="19059875"/>
        <c:axId val="37321148"/>
      </c:barChart>
      <c:lineChart>
        <c:grouping val="standard"/>
        <c:varyColors val="0"/>
        <c:ser>
          <c:idx val="1"/>
          <c:order val="1"/>
          <c:tx>
            <c:strRef>
              <c:f>'Общие расходы'!$J$1</c:f>
              <c:strCache>
                <c:ptCount val="1"/>
                <c:pt idx="0">
                  <c:v>Пробег (км)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'Общие расходы'!$A$2:$A$38</c:f>
              <c:strCache>
                <c:ptCount val="37"/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ЯНВ</c:v>
                </c:pt>
                <c:pt idx="14">
                  <c:v>ФЕВ</c:v>
                </c:pt>
                <c:pt idx="15">
                  <c:v>МАР</c:v>
                </c:pt>
                <c:pt idx="16">
                  <c:v>АПР</c:v>
                </c:pt>
                <c:pt idx="17">
                  <c:v>МАЙ</c:v>
                </c:pt>
                <c:pt idx="18">
                  <c:v>ИЮН</c:v>
                </c:pt>
                <c:pt idx="19">
                  <c:v>ИЮЛ</c:v>
                </c:pt>
                <c:pt idx="20">
                  <c:v>АВГ</c:v>
                </c:pt>
                <c:pt idx="21">
                  <c:v>СЕН</c:v>
                </c:pt>
                <c:pt idx="22">
                  <c:v>ОКТ</c:v>
                </c:pt>
                <c:pt idx="23">
                  <c:v>НОЯ</c:v>
                </c:pt>
                <c:pt idx="24">
                  <c:v>ДЕК</c:v>
                </c:pt>
                <c:pt idx="25">
                  <c:v>ЯНВ</c:v>
                </c:pt>
                <c:pt idx="26">
                  <c:v>ФЕВ</c:v>
                </c:pt>
                <c:pt idx="27">
                  <c:v>МАР</c:v>
                </c:pt>
                <c:pt idx="28">
                  <c:v>АПР</c:v>
                </c:pt>
                <c:pt idx="29">
                  <c:v>МАЙ</c:v>
                </c:pt>
                <c:pt idx="30">
                  <c:v>ИЮН</c:v>
                </c:pt>
                <c:pt idx="31">
                  <c:v>ИЮЛ</c:v>
                </c:pt>
                <c:pt idx="32">
                  <c:v>АВГ</c:v>
                </c:pt>
                <c:pt idx="33">
                  <c:v>СЕН</c:v>
                </c:pt>
                <c:pt idx="34">
                  <c:v>ОКТ</c:v>
                </c:pt>
                <c:pt idx="35">
                  <c:v>НОЯ</c:v>
                </c:pt>
                <c:pt idx="36">
                  <c:v>ДЕК</c:v>
                </c:pt>
              </c:strCache>
            </c:strRef>
          </c:cat>
          <c:val>
            <c:numRef>
              <c:f>'Общие расходы'!$J$2:$J$38</c:f>
              <c:numCache>
                <c:ptCount val="37"/>
                <c:pt idx="0">
                  <c:v>222793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399</c:v>
                </c:pt>
                <c:pt idx="15">
                  <c:v>2128</c:v>
                </c:pt>
                <c:pt idx="16">
                  <c:v>1688</c:v>
                </c:pt>
                <c:pt idx="17">
                  <c:v>1840</c:v>
                </c:pt>
                <c:pt idx="18">
                  <c:v>1702</c:v>
                </c:pt>
                <c:pt idx="19">
                  <c:v>3832</c:v>
                </c:pt>
                <c:pt idx="20">
                  <c:v>1484</c:v>
                </c:pt>
                <c:pt idx="21">
                  <c:v>958</c:v>
                </c:pt>
                <c:pt idx="22">
                  <c:v>812</c:v>
                </c:pt>
                <c:pt idx="23">
                  <c:v>1259</c:v>
                </c:pt>
                <c:pt idx="24">
                  <c:v>1828</c:v>
                </c:pt>
                <c:pt idx="25">
                  <c:v>1581</c:v>
                </c:pt>
                <c:pt idx="26">
                  <c:v>1856</c:v>
                </c:pt>
                <c:pt idx="27">
                  <c:v>372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1"/>
        </c:ser>
        <c:axId val="19059875"/>
        <c:axId val="37321148"/>
      </c:lineChart>
      <c:lineChart>
        <c:grouping val="standard"/>
        <c:varyColors val="0"/>
        <c:ser>
          <c:idx val="2"/>
          <c:order val="2"/>
          <c:tx>
            <c:strRef>
              <c:f>'Общие расходы'!$L$1</c:f>
              <c:strCache>
                <c:ptCount val="1"/>
                <c:pt idx="0">
                  <c:v>Руб/км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'Общие расходы'!$A$2:$A$38</c:f>
              <c:strCache>
                <c:ptCount val="37"/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ЯНВ</c:v>
                </c:pt>
                <c:pt idx="14">
                  <c:v>ФЕВ</c:v>
                </c:pt>
                <c:pt idx="15">
                  <c:v>МАР</c:v>
                </c:pt>
                <c:pt idx="16">
                  <c:v>АПР</c:v>
                </c:pt>
                <c:pt idx="17">
                  <c:v>МАЙ</c:v>
                </c:pt>
                <c:pt idx="18">
                  <c:v>ИЮН</c:v>
                </c:pt>
                <c:pt idx="19">
                  <c:v>ИЮЛ</c:v>
                </c:pt>
                <c:pt idx="20">
                  <c:v>АВГ</c:v>
                </c:pt>
                <c:pt idx="21">
                  <c:v>СЕН</c:v>
                </c:pt>
                <c:pt idx="22">
                  <c:v>ОКТ</c:v>
                </c:pt>
                <c:pt idx="23">
                  <c:v>НОЯ</c:v>
                </c:pt>
                <c:pt idx="24">
                  <c:v>ДЕК</c:v>
                </c:pt>
                <c:pt idx="25">
                  <c:v>ЯНВ</c:v>
                </c:pt>
                <c:pt idx="26">
                  <c:v>ФЕВ</c:v>
                </c:pt>
                <c:pt idx="27">
                  <c:v>МАР</c:v>
                </c:pt>
                <c:pt idx="28">
                  <c:v>АПР</c:v>
                </c:pt>
                <c:pt idx="29">
                  <c:v>МАЙ</c:v>
                </c:pt>
                <c:pt idx="30">
                  <c:v>ИЮН</c:v>
                </c:pt>
                <c:pt idx="31">
                  <c:v>ИЮЛ</c:v>
                </c:pt>
                <c:pt idx="32">
                  <c:v>АВГ</c:v>
                </c:pt>
                <c:pt idx="33">
                  <c:v>СЕН</c:v>
                </c:pt>
                <c:pt idx="34">
                  <c:v>ОКТ</c:v>
                </c:pt>
                <c:pt idx="35">
                  <c:v>НОЯ</c:v>
                </c:pt>
                <c:pt idx="36">
                  <c:v>ДЕК</c:v>
                </c:pt>
              </c:strCache>
            </c:strRef>
          </c:cat>
          <c:val>
            <c:numRef>
              <c:f>'Общие расходы'!$L$2:$L$38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0.017101075886585305</c:v>
                </c:pt>
                <c:pt idx="14">
                  <c:v>5.68922305764411</c:v>
                </c:pt>
                <c:pt idx="15">
                  <c:v>7.817199248120301</c:v>
                </c:pt>
                <c:pt idx="16">
                  <c:v>3.3347156398104265</c:v>
                </c:pt>
                <c:pt idx="17">
                  <c:v>2.8853260869565216</c:v>
                </c:pt>
                <c:pt idx="18">
                  <c:v>7.216216216216216</c:v>
                </c:pt>
                <c:pt idx="19">
                  <c:v>5.024451983298539</c:v>
                </c:pt>
                <c:pt idx="20">
                  <c:v>2.476347708894879</c:v>
                </c:pt>
                <c:pt idx="21">
                  <c:v>2.463465553235908</c:v>
                </c:pt>
                <c:pt idx="22">
                  <c:v>4.918706896551724</c:v>
                </c:pt>
                <c:pt idx="23">
                  <c:v>4.359812549642573</c:v>
                </c:pt>
                <c:pt idx="24">
                  <c:v>3.9083698030634575</c:v>
                </c:pt>
                <c:pt idx="25">
                  <c:v>5.070840607210626</c:v>
                </c:pt>
                <c:pt idx="26">
                  <c:v>5.277747413793103</c:v>
                </c:pt>
                <c:pt idx="27">
                  <c:v>3.6558870967741934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Расход (л/100км)</c:v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'Общие расходы'!$A$2:$A$38</c:f>
              <c:strCache>
                <c:ptCount val="37"/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ЯНВ</c:v>
                </c:pt>
                <c:pt idx="14">
                  <c:v>ФЕВ</c:v>
                </c:pt>
                <c:pt idx="15">
                  <c:v>МАР</c:v>
                </c:pt>
                <c:pt idx="16">
                  <c:v>АПР</c:v>
                </c:pt>
                <c:pt idx="17">
                  <c:v>МАЙ</c:v>
                </c:pt>
                <c:pt idx="18">
                  <c:v>ИЮН</c:v>
                </c:pt>
                <c:pt idx="19">
                  <c:v>ИЮЛ</c:v>
                </c:pt>
                <c:pt idx="20">
                  <c:v>АВГ</c:v>
                </c:pt>
                <c:pt idx="21">
                  <c:v>СЕН</c:v>
                </c:pt>
                <c:pt idx="22">
                  <c:v>ОКТ</c:v>
                </c:pt>
                <c:pt idx="23">
                  <c:v>НОЯ</c:v>
                </c:pt>
                <c:pt idx="24">
                  <c:v>ДЕК</c:v>
                </c:pt>
                <c:pt idx="25">
                  <c:v>ЯНВ</c:v>
                </c:pt>
                <c:pt idx="26">
                  <c:v>ФЕВ</c:v>
                </c:pt>
                <c:pt idx="27">
                  <c:v>МАР</c:v>
                </c:pt>
                <c:pt idx="28">
                  <c:v>АПР</c:v>
                </c:pt>
                <c:pt idx="29">
                  <c:v>МАЙ</c:v>
                </c:pt>
                <c:pt idx="30">
                  <c:v>ИЮН</c:v>
                </c:pt>
                <c:pt idx="31">
                  <c:v>ИЮЛ</c:v>
                </c:pt>
                <c:pt idx="32">
                  <c:v>АВГ</c:v>
                </c:pt>
                <c:pt idx="33">
                  <c:v>СЕН</c:v>
                </c:pt>
                <c:pt idx="34">
                  <c:v>ОКТ</c:v>
                </c:pt>
                <c:pt idx="35">
                  <c:v>НОЯ</c:v>
                </c:pt>
                <c:pt idx="36">
                  <c:v>ДЕК</c:v>
                </c:pt>
              </c:strCache>
            </c:strRef>
          </c:cat>
          <c:val>
            <c:numRef>
              <c:f>Бензин!$N$28:$N$64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15.037593984962406</c:v>
                </c:pt>
                <c:pt idx="15">
                  <c:v>12.359022556390977</c:v>
                </c:pt>
                <c:pt idx="16">
                  <c:v>10.66350710900474</c:v>
                </c:pt>
                <c:pt idx="17">
                  <c:v>10.869565217391305</c:v>
                </c:pt>
                <c:pt idx="18">
                  <c:v>11.163337250293772</c:v>
                </c:pt>
                <c:pt idx="19">
                  <c:v>9.786012526096034</c:v>
                </c:pt>
                <c:pt idx="20">
                  <c:v>11.080862533692722</c:v>
                </c:pt>
                <c:pt idx="21">
                  <c:v>10.438413361169102</c:v>
                </c:pt>
                <c:pt idx="22">
                  <c:v>13.39655172413793</c:v>
                </c:pt>
                <c:pt idx="23">
                  <c:v>13.956632247815726</c:v>
                </c:pt>
                <c:pt idx="24">
                  <c:v>12.660229759299781</c:v>
                </c:pt>
                <c:pt idx="25">
                  <c:v>14.017710309930424</c:v>
                </c:pt>
                <c:pt idx="26">
                  <c:v>12.60959051724138</c:v>
                </c:pt>
                <c:pt idx="27">
                  <c:v>13.112903225806452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1"/>
        </c:ser>
        <c:axId val="346013"/>
        <c:axId val="3114118"/>
      </c:lineChart>
      <c:catAx>
        <c:axId val="190598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21148"/>
        <c:crosses val="autoZero"/>
        <c:auto val="1"/>
        <c:lblOffset val="100"/>
        <c:tickLblSkip val="1"/>
        <c:noMultiLvlLbl val="0"/>
      </c:catAx>
      <c:valAx>
        <c:axId val="37321148"/>
        <c:scaling>
          <c:orientation val="minMax"/>
          <c:max val="2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9875"/>
        <c:crossesAt val="1"/>
        <c:crossBetween val="between"/>
        <c:dispUnits/>
        <c:majorUnit val="1000"/>
      </c:valAx>
      <c:catAx>
        <c:axId val="346013"/>
        <c:scaling>
          <c:orientation val="minMax"/>
        </c:scaling>
        <c:axPos val="b"/>
        <c:delete val="1"/>
        <c:majorTickMark val="out"/>
        <c:minorTickMark val="none"/>
        <c:tickLblPos val="nextTo"/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  <c:max val="2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013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47775"/>
          <c:w val="0.189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18"/>
  </sheetViews>
  <pageMargins left="0.75" right="0.75" top="0.51" bottom="0.5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0.07175</cdr:y>
    </cdr:from>
    <cdr:to>
      <cdr:x>0.36175</cdr:x>
      <cdr:y>0.4625</cdr:y>
    </cdr:to>
    <cdr:graphicFrame>
      <cdr:nvGraphicFramePr>
        <cdr:cNvPr id="1" name="Chart 6"/>
        <cdr:cNvGraphicFramePr/>
      </cdr:nvGraphicFramePr>
      <cdr:xfrm>
        <a:off x="581025" y="466725"/>
        <a:ext cx="2781300" cy="25908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619875"/>
    <xdr:graphicFrame>
      <xdr:nvGraphicFramePr>
        <xdr:cNvPr id="1" name="Shape 1025"/>
        <xdr:cNvGraphicFramePr/>
      </xdr:nvGraphicFramePr>
      <xdr:xfrm>
        <a:off x="832256400" y="832256400"/>
        <a:ext cx="93059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el\Local%20Settings\TEMP\Rar$DI00.343\&#1044;&#1083;&#1103;%20&#1084;&#1072;&#1096;&#1080;&#1085;&#1099;\&#1046;&#1080;&#1076;&#1082;&#1086;&#1089;&#1090;&#1100;%20&#1058;&#1042;&#1045;.jpg" TargetMode="External" /><Relationship Id="rId2" Type="http://schemas.openxmlformats.org/officeDocument/2006/relationships/hyperlink" Target="file://C:\Documents%20and%20Settings\steel\Local%20Settings\TEMP\Rar$DI00.343\&#1044;&#1083;&#1103;%20&#1084;&#1072;&#1096;&#1080;&#1085;&#1099;\&#1046;&#1080;&#1076;&#1082;&#1086;&#1089;&#1090;&#1100;%20&#1058;&#1042;&#1045;.jpg" TargetMode="External" /><Relationship Id="rId3" Type="http://schemas.openxmlformats.org/officeDocument/2006/relationships/hyperlink" Target="file://C:\Documents%20and%20Settings\steel\Local%20Settings\TEMP\Rar$DI00.343\&#1044;&#1083;&#1103;%20&#1084;&#1072;&#1096;&#1080;&#1085;&#1099;\&#1080;&#1076;&#1077;&#1084;&#1080;&#1090;&#1089;&#1091;.jpg" TargetMode="External" /><Relationship Id="rId4" Type="http://schemas.openxmlformats.org/officeDocument/2006/relationships/hyperlink" Target="file://C:\Documents%20and%20Settings\steel\Local%20Settings\TEMP\Rar$DI00.343\&#1044;&#1083;&#1103;%20&#1084;&#1072;&#1096;&#1080;&#1085;&#1099;\&#1088;&#1072;&#1084;&#1082;&#1072;%201.jpg" TargetMode="External" /><Relationship Id="rId5" Type="http://schemas.openxmlformats.org/officeDocument/2006/relationships/hyperlink" Target="file://C:\Documents%20and%20Settings\steel\Local%20Settings\TEMP\Rar$DI00.343\&#1044;&#1083;&#1103;%20&#1084;&#1072;&#1096;&#1080;&#1085;&#1099;\ISO%20&#1082;&#1086;&#1085;&#1077;&#1082;&#1090;&#1086;&#1088;.jpg" TargetMode="External" /><Relationship Id="rId6" Type="http://schemas.openxmlformats.org/officeDocument/2006/relationships/hyperlink" Target="http://www.ksize.ru/ISO_konnektory/837-771.html" TargetMode="External" /><Relationship Id="rId7" Type="http://schemas.openxmlformats.org/officeDocument/2006/relationships/hyperlink" Target="file://C:\Documents%20and%20Settings\steel\Local%20Settings\TEMP\Rar$DI00.343\&#1044;&#1083;&#1103;%20&#1084;&#1072;&#1096;&#1080;&#1085;&#1099;\V8RS.jpg" TargetMode="External" /><Relationship Id="rId8" Type="http://schemas.openxmlformats.org/officeDocument/2006/relationships/hyperlink" Target="file://C:\Documents%20and%20Settings\steel\Local%20Settings\TEMP\Rar$DI00.343\&#1044;&#1083;&#1103;%20&#1084;&#1072;&#1096;&#1080;&#1085;&#1099;\V8RS.jpg" TargetMode="External" /><Relationship Id="rId9" Type="http://schemas.openxmlformats.org/officeDocument/2006/relationships/hyperlink" Target="file://C:\Documents%20and%20Settings\steel\Local%20Settings\TEMP\Rar$DI00.343\&#1044;&#1083;&#1103;%20&#1084;&#1072;&#1096;&#1080;&#1085;&#1099;\&#1065;&#1077;&#1090;&#1082;&#1072;%20&#1079;&#1072;&#1076;&#1085;&#1103;&#1103;.jpg" TargetMode="External" /><Relationship Id="rId10" Type="http://schemas.openxmlformats.org/officeDocument/2006/relationships/hyperlink" Target="file://C:\Documents%20and%20Settings\steel\Local%20Settings\TEMP\Rar$DI00.343\&#1044;&#1083;&#1103;%20&#1084;&#1072;&#1096;&#1080;&#1085;&#1099;\&#1060;&#1080;&#1083;&#1100;&#1090;&#1088;%20&#1074;&#1086;&#1079;&#1076;.jpg" TargetMode="External" /><Relationship Id="rId11" Type="http://schemas.openxmlformats.org/officeDocument/2006/relationships/hyperlink" Target="file://C:\Documents%20and%20Settings\steel\Local%20Settings\TEMP\Rar$DI00.343\&#1044;&#1083;&#1103;%20&#1084;&#1072;&#1096;&#1080;&#1085;&#1099;\&#1046;&#1080;&#1076;&#1082;&#1086;&#1089;&#1090;&#1100;%20&#1058;&#1042;&#1045;.jpg" TargetMode="External" /><Relationship Id="rId12" Type="http://schemas.openxmlformats.org/officeDocument/2006/relationships/hyperlink" Target="file://C:\Documents%20and%20Settings\steel\Local%20Settings\TEMP\Rar$DI00.343\&#1044;&#1083;&#1103;%20&#1084;&#1072;&#1096;&#1080;&#1085;&#1099;\&#1046;&#1080;&#1076;&#1082;&#1086;&#1089;&#1090;&#1100;%20&#1058;&#1042;&#1045;.jpg" TargetMode="External" /><Relationship Id="rId13" Type="http://schemas.openxmlformats.org/officeDocument/2006/relationships/hyperlink" Target="file://C:\Documents%20and%20Settings\steel\Local%20Settings\TEMP\Rar$DI00.343\&#1044;&#1083;&#1103;%20&#1084;&#1072;&#1096;&#1080;&#1085;&#1099;\&#1046;&#1080;&#1076;&#1082;&#1086;&#1089;&#1090;&#1100;%20&#1058;&#1042;&#1045;.jpg" TargetMode="External" /><Relationship Id="rId14" Type="http://schemas.openxmlformats.org/officeDocument/2006/relationships/hyperlink" Target="file://C:\Documents%20and%20Settings\steel\Local%20Settings\TEMP\Rar$DI00.343\&#1088;&#1072;&#1076;&#1072;&#1088;\Crunch.jpg" TargetMode="External" /><Relationship Id="rId15" Type="http://schemas.openxmlformats.org/officeDocument/2006/relationships/hyperlink" Target="file://C:\Documents%20and%20Settings\steel\Local%20Settings\TEMP\Rar$DI00.343\&#1088;&#1072;&#1076;&#1072;&#1088;\26082009450.jpg" TargetMode="External" /><Relationship Id="rId16" Type="http://schemas.openxmlformats.org/officeDocument/2006/relationships/hyperlink" Target="file://C:\Documents%20and%20Settings\steel\Local%20Settings\TEMP\Rar$DI00.343\&#1044;&#1083;&#1103;%20&#1084;&#1072;&#1096;&#1080;&#1085;&#1099;\m_popup_HK_W409_L_abt_0.jpg" TargetMode="External" /><Relationship Id="rId17" Type="http://schemas.openxmlformats.org/officeDocument/2006/relationships/hyperlink" Target="file://C:\Documents%20and%20Settings\steel\Local%20Settings\TEMP\Rar$DI00.343\&#1092;&#1072;&#1088;&#1099;\18082009427.jpg" TargetMode="External" /><Relationship Id="rId18" Type="http://schemas.openxmlformats.org/officeDocument/2006/relationships/hyperlink" Target="file://C:\Documents%20and%20Settings\steel\Local%20Settings\TEMP\Rar$DI00.343\&#1044;&#1083;&#1103;%20&#1084;&#1072;&#1096;&#1080;&#1085;&#1099;\&#1046;&#1080;&#1076;&#1082;&#1086;&#1089;&#1090;&#1100;%20&#1058;&#1042;&#1045;.jpg" TargetMode="External" /><Relationship Id="rId19" Type="http://schemas.openxmlformats.org/officeDocument/2006/relationships/hyperlink" Target="file://C:\Documents%20and%20Settings\steel\Local%20Settings\TEMP\Rar$DI00.343\&#1044;&#1083;&#1103;%20&#1084;&#1072;&#1096;&#1080;&#1085;&#1099;\10112009602.jpg" TargetMode="External" /><Relationship Id="rId20" Type="http://schemas.openxmlformats.org/officeDocument/2006/relationships/hyperlink" Target="file://C:\Documents%20and%20Settings\steel\Local%20Settings\TEMP\Rar$DI00.343\&#1044;&#1083;&#1103;%20&#1084;&#1072;&#1096;&#1080;&#1085;&#1099;\&#1046;&#1080;&#1076;&#1082;&#1086;&#1089;&#1090;&#1100;%20&#1058;&#1042;&#1045;.jpg" TargetMode="External" /><Relationship Id="rId21" Type="http://schemas.openxmlformats.org/officeDocument/2006/relationships/hyperlink" Target="file://C:\Documents%20and%20Settings\steel\Local%20Settings\TEMP\Rar$DI00.343\&#1044;&#1083;&#1103;%20&#1084;&#1072;&#1096;&#1080;&#1085;&#1099;\&#1056;&#1086;&#1083;&#1080;&#1082;%20&#1075;&#1083;&#1072;&#1076;&#1082;&#1080;&#1081;%20&#1086;&#1073;&#1074;&#1086;&#1076;&#1085;&#1086;&#1081;.jpg" TargetMode="External" /><Relationship Id="rId22" Type="http://schemas.openxmlformats.org/officeDocument/2006/relationships/hyperlink" Target="file://C:\Documents%20and%20Settings\steel\Local%20Settings\TEMP\Rar$DI00.343\&#1044;&#1083;&#1103;%20&#1084;&#1072;&#1096;&#1080;&#1085;&#1099;\&#1088;&#1086;&#1083;&#1080;&#1082;%20&#1079;&#1091;&#1073;&#1095;.jpg" TargetMode="External" /><Relationship Id="rId23" Type="http://schemas.openxmlformats.org/officeDocument/2006/relationships/hyperlink" Target="file://C:\Documents%20and%20Settings\steel\Local%20Settings\TEMP\Rar$DI00.343\&#1044;&#1083;&#1103;%20&#1084;&#1072;&#1096;&#1080;&#1085;&#1099;\&#1088;&#1086;&#1083;&#1080;&#1082;%20&#1089;%20&#1073;&#1091;&#1088;&#1090;&#1086;&#1084;.jpg" TargetMode="External" /><Relationship Id="rId24" Type="http://schemas.openxmlformats.org/officeDocument/2006/relationships/hyperlink" Target="file://C:\Documents%20and%20Settings\steel\Local%20Settings\TEMP\Rar$DI00.343\&#1044;&#1083;&#1103;%20&#1084;&#1072;&#1096;&#1080;&#1085;&#1099;\&#1088;&#1077;&#1084;&#1077;&#1085;&#1100;.jpg" TargetMode="External" /><Relationship Id="rId25" Type="http://schemas.openxmlformats.org/officeDocument/2006/relationships/hyperlink" Target="file://C:\Documents%20and%20Settings\steel\Local%20Settings\TEMP\Rar$DI00.343\&#1044;&#1083;&#1103;%20&#1084;&#1072;&#1096;&#1080;&#1085;&#1099;\&#1089;&#1072;&#1083;&#1100;&#1085;&#1080;&#1082;%20&#1088;&#1072;&#1089;&#1087;&#1088;&#1077;&#1076;&#1074;&#1072;&#1083;&#1072;.jpg" TargetMode="External" /><Relationship Id="rId26" Type="http://schemas.openxmlformats.org/officeDocument/2006/relationships/hyperlink" Target="file://C:\Documents%20and%20Settings\steel\Local%20Settings\TEMP\Rar$DI00.343\&#1044;&#1083;&#1103;%20&#1084;&#1072;&#1096;&#1080;&#1085;&#1099;\&#1089;&#1072;&#1083;&#1100;&#1085;&#1080;&#1082;%20&#1082;&#1086;&#1083;&#1077;&#1085;&#1072;.jpg" TargetMode="External" /><Relationship Id="rId27" Type="http://schemas.openxmlformats.org/officeDocument/2006/relationships/hyperlink" Target="file://C:\Documents%20and%20Settings\steel\Local%20Settings\TEMP\Rar$DI00.343\&#1044;&#1083;&#1103;%20&#1084;&#1072;&#1096;&#1080;&#1085;&#1099;\&#1087;&#1088;&#1086;&#1082;&#1083;&#1072;&#1076;&#1082;&#1072;%20&#1074;%20&#1089;&#1074;&#1077;&#1095;&#1085;&#1086;&#1081;%20&#1082;&#1086;&#1083;&#1086;&#1076;&#1077;&#1094;.jpg" TargetMode="External" /><Relationship Id="rId28" Type="http://schemas.openxmlformats.org/officeDocument/2006/relationships/hyperlink" Target="file://C:\Documents%20and%20Settings\steel\Local%20Settings\TEMP\Rar$DI00.343\&#1044;&#1083;&#1103;%20&#1084;&#1072;&#1096;&#1080;&#1085;&#1099;\&#1087;&#1088;&#1086;&#1082;&#1083;&#1072;&#1076;&#1082;&#1072;%20&#1087;&#1086;&#1076;%20&#1082;&#1088;&#1099;&#1096;&#1082;&#1091;.jpg" TargetMode="External" /><Relationship Id="rId29" Type="http://schemas.openxmlformats.org/officeDocument/2006/relationships/hyperlink" Target="file://C:\Documents%20and%20Settings\steel\Local%20Settings\TEMP\Rar$DI00.343\&#1044;&#1083;&#1103;%20&#1084;&#1072;&#1096;&#1080;&#1085;&#1099;\&#1087;&#1088;&#1086;&#1082;&#1083;&#1072;&#1076;&#1082;&#1072;%20&#1087;&#1086;&#1076;%20&#1073;&#1086;&#1083;&#1090;.jpg" TargetMode="External" /><Relationship Id="rId30" Type="http://schemas.openxmlformats.org/officeDocument/2006/relationships/hyperlink" Target="file://C:\Documents%20and%20Settings\steel\Local%20Settings\TEMP\Rar$DI00.343\&#1044;&#1083;&#1103;%20&#1084;&#1072;&#1096;&#1080;&#1085;&#1099;\&#1088;&#1086;&#1083;&#1080;&#1082;%20&#1085;&#1072;&#1090;&#1103;&#1078;&#1080;&#1090;&#1077;&#1083;&#1103;.jpg" TargetMode="External" /><Relationship Id="rId31" Type="http://schemas.openxmlformats.org/officeDocument/2006/relationships/hyperlink" Target="file://C:\Documents%20and%20Settings\steel\Local%20Settings\TEMP\Rar$DI00.343\&#1044;&#1083;&#1103;%20&#1084;&#1072;&#1096;&#1080;&#1085;&#1099;\&#1046;&#1080;&#1076;&#1082;&#1086;&#1089;&#1090;&#1100;%20&#1058;&#1042;&#1045;.jpg" TargetMode="External" /><Relationship Id="rId3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Q317"/>
  <sheetViews>
    <sheetView showZeros="0" zoomScalePageLayoutView="0" workbookViewId="0" topLeftCell="A1">
      <pane ySplit="2" topLeftCell="A45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10.375" style="18" customWidth="1"/>
    <col min="2" max="2" width="6.00390625" style="17" customWidth="1"/>
    <col min="3" max="3" width="6.00390625" style="101" customWidth="1"/>
    <col min="4" max="4" width="7.25390625" style="16" bestFit="1" customWidth="1"/>
    <col min="5" max="5" width="9.75390625" style="16" customWidth="1"/>
    <col min="6" max="6" width="9.625" style="16" customWidth="1"/>
    <col min="7" max="7" width="7.875" style="0" bestFit="1" customWidth="1"/>
    <col min="8" max="8" width="8.875" style="16" customWidth="1"/>
    <col min="9" max="9" width="5.375" style="17" customWidth="1"/>
    <col min="10" max="10" width="8.875" style="17" bestFit="1" customWidth="1"/>
    <col min="11" max="11" width="1.75390625" style="0" customWidth="1"/>
    <col min="12" max="12" width="8.25390625" style="0" customWidth="1"/>
    <col min="13" max="13" width="8.125" style="0" bestFit="1" customWidth="1"/>
    <col min="14" max="14" width="7.75390625" style="0" customWidth="1"/>
    <col min="15" max="15" width="11.625" style="0" customWidth="1"/>
  </cols>
  <sheetData>
    <row r="1" spans="1:10" ht="12.75">
      <c r="A1" s="1" t="s">
        <v>0</v>
      </c>
      <c r="B1" s="2" t="s">
        <v>1</v>
      </c>
      <c r="C1" s="97" t="s">
        <v>136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7" ht="12.75">
      <c r="A2" s="57"/>
      <c r="B2" s="4">
        <f>SUMIF($F$3:$F$1131,"&gt;0",B$3:B$1131)</f>
        <v>2552.7969999999996</v>
      </c>
      <c r="C2" s="98">
        <f>MAX(C3:C1131)</f>
        <v>23.16</v>
      </c>
      <c r="D2" s="4">
        <f>SUMIF($F$3:$F$1131,"&gt;0",D$3:D$1131)</f>
        <v>45227.08220000002</v>
      </c>
      <c r="E2" s="4">
        <f>MAX(E3:E1131)</f>
        <v>244532</v>
      </c>
      <c r="F2" s="4">
        <f>SUMIF($F$3:$F$1131,"&gt;0",F$3:F$1131)</f>
        <v>21739</v>
      </c>
      <c r="G2" s="5">
        <f>B2/F2*100</f>
        <v>11.742936657619945</v>
      </c>
      <c r="H2" s="6">
        <f>D2/F2</f>
        <v>2.0804582639495846</v>
      </c>
      <c r="I2" s="7">
        <f>SUM(I3:I1131)</f>
        <v>375</v>
      </c>
      <c r="J2" s="7">
        <f>F2/I2</f>
        <v>57.970666666666666</v>
      </c>
      <c r="M2" s="8" t="s">
        <v>9</v>
      </c>
      <c r="N2" s="8" t="s">
        <v>10</v>
      </c>
      <c r="Q2" t="s">
        <v>39</v>
      </c>
    </row>
    <row r="3" spans="1:17" ht="12.75">
      <c r="A3" s="73">
        <v>40235</v>
      </c>
      <c r="B3" s="74">
        <v>60</v>
      </c>
      <c r="C3" s="99">
        <v>15</v>
      </c>
      <c r="D3" s="75">
        <f>B3*C3</f>
        <v>900</v>
      </c>
      <c r="E3" s="75">
        <v>222793</v>
      </c>
      <c r="F3" s="76">
        <f>IF(E4&gt;0,E4-E3,0)</f>
        <v>399</v>
      </c>
      <c r="G3" s="77">
        <f>IF(F3&gt;0,B3/F3*100,0)</f>
        <v>15.037593984962406</v>
      </c>
      <c r="H3" s="79">
        <f>IF(F3&gt;0,D3/F3,0)</f>
        <v>2.255639097744361</v>
      </c>
      <c r="I3" s="78">
        <f>IF(F3&gt;0,A4-A3,0)</f>
        <v>7</v>
      </c>
      <c r="J3" s="78">
        <f>IF(F3&gt;0,F3/I3,0)</f>
        <v>57</v>
      </c>
      <c r="Q3" t="str">
        <f>IF(F3=0,0,CONCATENATE(TEXT(YEAR(A3),0),TEXT(MONTH(A3),0)))</f>
        <v>20102</v>
      </c>
    </row>
    <row r="4" spans="1:17" ht="12.75">
      <c r="A4" s="73">
        <v>40242</v>
      </c>
      <c r="B4" s="74">
        <v>53</v>
      </c>
      <c r="C4" s="99">
        <v>15</v>
      </c>
      <c r="D4" s="75">
        <f>B4*C4</f>
        <v>795</v>
      </c>
      <c r="E4" s="75">
        <v>223192</v>
      </c>
      <c r="F4" s="76">
        <f aca="true" t="shared" si="0" ref="F4:F13">IF(E5&gt;0,E5-E4,0)</f>
        <v>462</v>
      </c>
      <c r="G4" s="77">
        <f>IF(F4&gt;0,B4/F4*100,0)</f>
        <v>11.471861471861471</v>
      </c>
      <c r="H4" s="79">
        <f>IF(F4&gt;0,D4/F4,0)</f>
        <v>1.7207792207792207</v>
      </c>
      <c r="I4" s="78">
        <f>IF(F4&gt;0,A5-A4,0)</f>
        <v>8</v>
      </c>
      <c r="J4" s="78">
        <f>IF(F4&gt;0,F4/I4,0)</f>
        <v>57.75</v>
      </c>
      <c r="Q4" t="str">
        <f>IF(F4=0,0,CONCATENATE(TEXT(YEAR(A4),0),TEXT(MONTH(A4),0)))</f>
        <v>20103</v>
      </c>
    </row>
    <row r="5" spans="1:17" ht="12.75">
      <c r="A5" s="73">
        <v>40250</v>
      </c>
      <c r="B5" s="74">
        <v>20</v>
      </c>
      <c r="C5" s="99">
        <v>15</v>
      </c>
      <c r="D5" s="75">
        <f>B5*C5</f>
        <v>300</v>
      </c>
      <c r="E5" s="75">
        <v>223654</v>
      </c>
      <c r="F5" s="76">
        <f t="shared" si="0"/>
        <v>169</v>
      </c>
      <c r="G5" s="77">
        <f>IF(F5&gt;0,B5/F5*100,0)</f>
        <v>11.834319526627219</v>
      </c>
      <c r="H5" s="79">
        <f>IF(F5&gt;0,D5/F5,0)</f>
        <v>1.7751479289940828</v>
      </c>
      <c r="I5" s="78">
        <f>IF(F5&gt;0,A6-A5,0)</f>
        <v>3</v>
      </c>
      <c r="J5" s="78">
        <f>IF(F5&gt;0,F5/I5,0)</f>
        <v>56.333333333333336</v>
      </c>
      <c r="Q5" t="str">
        <f>IF(F5=0,0,CONCATENATE(TEXT(YEAR(A5),0),TEXT(MONTH(A5),0)))</f>
        <v>20103</v>
      </c>
    </row>
    <row r="6" spans="1:17" ht="12.75">
      <c r="A6" s="73">
        <v>40253</v>
      </c>
      <c r="B6" s="74">
        <v>20</v>
      </c>
      <c r="C6" s="99">
        <v>20</v>
      </c>
      <c r="D6" s="75">
        <f aca="true" t="shared" si="1" ref="D6:D99">B6*C6</f>
        <v>400</v>
      </c>
      <c r="E6" s="75">
        <v>223823</v>
      </c>
      <c r="F6" s="76">
        <f t="shared" si="0"/>
        <v>67</v>
      </c>
      <c r="G6" s="77">
        <f>IF(F6&gt;0,B6/F6*100,0)</f>
        <v>29.850746268656714</v>
      </c>
      <c r="H6" s="79">
        <f>IF(F6&gt;0,D6/F6,0)</f>
        <v>5.970149253731344</v>
      </c>
      <c r="I6" s="78">
        <f>IF(F6&gt;0,A7-A6,0)</f>
        <v>1</v>
      </c>
      <c r="J6" s="78">
        <f>IF(F6&gt;0,F6/I6,0)</f>
        <v>67</v>
      </c>
      <c r="Q6" t="str">
        <f>IF(F6=0,0,CONCATENATE(TEXT(YEAR(A6),0),TEXT(MONTH(A6),0)))</f>
        <v>20103</v>
      </c>
    </row>
    <row r="7" spans="1:17" ht="12.75">
      <c r="A7" s="73">
        <v>40254</v>
      </c>
      <c r="B7" s="74">
        <v>40</v>
      </c>
      <c r="C7" s="99">
        <v>15</v>
      </c>
      <c r="D7" s="75">
        <f t="shared" si="1"/>
        <v>600</v>
      </c>
      <c r="E7" s="75">
        <v>223890</v>
      </c>
      <c r="F7" s="76">
        <f t="shared" si="0"/>
        <v>200</v>
      </c>
      <c r="G7" s="77">
        <f>IF(F7&gt;0,B7/F7*100,0)</f>
        <v>20</v>
      </c>
      <c r="H7" s="79">
        <f>IF(F7&gt;0,D7/F7,0)</f>
        <v>3</v>
      </c>
      <c r="I7" s="78">
        <f>IF(F7&gt;0,A8-A7,0)</f>
        <v>2</v>
      </c>
      <c r="J7" s="78">
        <f>IF(F7&gt;0,F7/I7,0)</f>
        <v>100</v>
      </c>
      <c r="Q7" t="str">
        <f aca="true" t="shared" si="2" ref="Q7:Q70">IF(F7=0,0,CONCATENATE(TEXT(YEAR(A7),0),TEXT(MONTH(A7),0)))</f>
        <v>20103</v>
      </c>
    </row>
    <row r="8" spans="1:17" ht="12.75">
      <c r="A8" s="73">
        <v>40256</v>
      </c>
      <c r="B8" s="74">
        <v>20</v>
      </c>
      <c r="C8" s="99">
        <v>15</v>
      </c>
      <c r="D8" s="75">
        <f t="shared" si="1"/>
        <v>300</v>
      </c>
      <c r="E8" s="75">
        <v>224090</v>
      </c>
      <c r="F8" s="76">
        <f t="shared" si="0"/>
        <v>470</v>
      </c>
      <c r="G8" s="77">
        <f aca="true" t="shared" si="3" ref="G8:G57">IF(F8&gt;0,B8/F8*100,0)</f>
        <v>4.25531914893617</v>
      </c>
      <c r="H8" s="79">
        <f aca="true" t="shared" si="4" ref="H8:H57">IF(F8&gt;0,D8/F8,0)</f>
        <v>0.6382978723404256</v>
      </c>
      <c r="I8" s="78">
        <f aca="true" t="shared" si="5" ref="I8:I57">IF(F8&gt;0,A9-A8,0)</f>
        <v>4</v>
      </c>
      <c r="J8" s="78">
        <f aca="true" t="shared" si="6" ref="J8:J57">IF(F8&gt;0,F8/I8,0)</f>
        <v>117.5</v>
      </c>
      <c r="Q8" t="str">
        <f t="shared" si="2"/>
        <v>20103</v>
      </c>
    </row>
    <row r="9" spans="1:17" ht="12.75">
      <c r="A9" s="73">
        <v>40260</v>
      </c>
      <c r="B9" s="78">
        <v>40</v>
      </c>
      <c r="C9" s="100">
        <v>18.75</v>
      </c>
      <c r="D9" s="75">
        <f t="shared" si="1"/>
        <v>750</v>
      </c>
      <c r="E9" s="76">
        <v>224560</v>
      </c>
      <c r="F9" s="76">
        <f t="shared" si="0"/>
        <v>254</v>
      </c>
      <c r="G9" s="77">
        <f t="shared" si="3"/>
        <v>15.748031496062993</v>
      </c>
      <c r="H9" s="79">
        <f t="shared" si="4"/>
        <v>2.952755905511811</v>
      </c>
      <c r="I9" s="78">
        <f t="shared" si="5"/>
        <v>4</v>
      </c>
      <c r="J9" s="78">
        <f t="shared" si="6"/>
        <v>63.5</v>
      </c>
      <c r="O9" s="12"/>
      <c r="Q9" t="str">
        <f t="shared" si="2"/>
        <v>20103</v>
      </c>
    </row>
    <row r="10" spans="1:17" ht="12.75">
      <c r="A10" s="73">
        <v>40264</v>
      </c>
      <c r="B10" s="78">
        <v>30</v>
      </c>
      <c r="C10" s="100">
        <v>15</v>
      </c>
      <c r="D10" s="75">
        <f t="shared" si="1"/>
        <v>450</v>
      </c>
      <c r="E10" s="76">
        <v>224814</v>
      </c>
      <c r="F10" s="76">
        <f t="shared" si="0"/>
        <v>241</v>
      </c>
      <c r="G10" s="77">
        <f t="shared" si="3"/>
        <v>12.448132780082988</v>
      </c>
      <c r="H10" s="79">
        <f t="shared" si="4"/>
        <v>1.8672199170124482</v>
      </c>
      <c r="I10" s="78">
        <f t="shared" si="5"/>
        <v>4</v>
      </c>
      <c r="J10" s="78">
        <f t="shared" si="6"/>
        <v>60.25</v>
      </c>
      <c r="Q10" t="str">
        <f t="shared" si="2"/>
        <v>20103</v>
      </c>
    </row>
    <row r="11" spans="1:17" ht="12.75">
      <c r="A11" s="73">
        <v>40268</v>
      </c>
      <c r="B11" s="74">
        <v>40</v>
      </c>
      <c r="C11" s="99">
        <v>15</v>
      </c>
      <c r="D11" s="146">
        <f t="shared" si="1"/>
        <v>600</v>
      </c>
      <c r="E11" s="75">
        <v>225055</v>
      </c>
      <c r="F11" s="76">
        <f>IF(E12&gt;0,E12-E11,0)</f>
        <v>265</v>
      </c>
      <c r="G11" s="77">
        <f t="shared" si="3"/>
        <v>15.09433962264151</v>
      </c>
      <c r="H11" s="79">
        <f t="shared" si="4"/>
        <v>2.2641509433962264</v>
      </c>
      <c r="I11" s="78">
        <f>IF(F11&gt;0,A12-A11,0)</f>
        <v>7</v>
      </c>
      <c r="J11" s="78">
        <f t="shared" si="6"/>
        <v>37.857142857142854</v>
      </c>
      <c r="Q11" t="str">
        <f t="shared" si="2"/>
        <v>20103</v>
      </c>
    </row>
    <row r="12" spans="1:17" ht="12.75">
      <c r="A12" s="73">
        <v>40275</v>
      </c>
      <c r="B12" s="74">
        <v>40</v>
      </c>
      <c r="C12" s="99">
        <v>15</v>
      </c>
      <c r="D12" s="146">
        <f t="shared" si="1"/>
        <v>600</v>
      </c>
      <c r="E12" s="75">
        <v>225320</v>
      </c>
      <c r="F12" s="76">
        <f t="shared" si="0"/>
        <v>328</v>
      </c>
      <c r="G12" s="77">
        <f t="shared" si="3"/>
        <v>12.195121951219512</v>
      </c>
      <c r="H12" s="79">
        <f t="shared" si="4"/>
        <v>1.829268292682927</v>
      </c>
      <c r="I12" s="78">
        <f t="shared" si="5"/>
        <v>6</v>
      </c>
      <c r="J12" s="78">
        <f t="shared" si="6"/>
        <v>54.666666666666664</v>
      </c>
      <c r="Q12" t="str">
        <f t="shared" si="2"/>
        <v>20104</v>
      </c>
    </row>
    <row r="13" spans="1:17" ht="12.75">
      <c r="A13" s="73">
        <v>40281</v>
      </c>
      <c r="B13" s="74">
        <v>20</v>
      </c>
      <c r="C13" s="99">
        <v>15</v>
      </c>
      <c r="D13" s="146">
        <f t="shared" si="1"/>
        <v>300</v>
      </c>
      <c r="E13" s="75">
        <v>225648</v>
      </c>
      <c r="F13" s="76">
        <f t="shared" si="0"/>
        <v>136</v>
      </c>
      <c r="G13" s="77">
        <f t="shared" si="3"/>
        <v>14.705882352941178</v>
      </c>
      <c r="H13" s="79">
        <f t="shared" si="4"/>
        <v>2.2058823529411766</v>
      </c>
      <c r="I13" s="78">
        <f t="shared" si="5"/>
        <v>3</v>
      </c>
      <c r="J13" s="78">
        <f t="shared" si="6"/>
        <v>45.333333333333336</v>
      </c>
      <c r="Q13" t="str">
        <f t="shared" si="2"/>
        <v>20104</v>
      </c>
    </row>
    <row r="14" spans="1:17" ht="12.75">
      <c r="A14" s="73">
        <v>40284</v>
      </c>
      <c r="B14" s="74">
        <v>40</v>
      </c>
      <c r="C14" s="99">
        <v>15</v>
      </c>
      <c r="D14" s="146">
        <f t="shared" si="1"/>
        <v>600</v>
      </c>
      <c r="E14" s="75">
        <v>225784</v>
      </c>
      <c r="F14" s="76">
        <f aca="true" t="shared" si="7" ref="F14:F57">IF(E15&gt;0,E15-E14,0)</f>
        <v>308</v>
      </c>
      <c r="G14" s="77">
        <f t="shared" si="3"/>
        <v>12.987012987012985</v>
      </c>
      <c r="H14" s="79">
        <f t="shared" si="4"/>
        <v>1.948051948051948</v>
      </c>
      <c r="I14" s="78">
        <f t="shared" si="5"/>
        <v>5</v>
      </c>
      <c r="J14" s="78">
        <f t="shared" si="6"/>
        <v>61.6</v>
      </c>
      <c r="Q14" t="str">
        <f t="shared" si="2"/>
        <v>20104</v>
      </c>
    </row>
    <row r="15" spans="1:17" ht="12.75">
      <c r="A15" s="73">
        <v>40289</v>
      </c>
      <c r="B15" s="74">
        <v>30</v>
      </c>
      <c r="C15" s="99">
        <v>15</v>
      </c>
      <c r="D15" s="146">
        <f t="shared" si="1"/>
        <v>450</v>
      </c>
      <c r="E15" s="75">
        <v>226092</v>
      </c>
      <c r="F15" s="76">
        <f t="shared" si="7"/>
        <v>122</v>
      </c>
      <c r="G15" s="77">
        <f t="shared" si="3"/>
        <v>24.59016393442623</v>
      </c>
      <c r="H15" s="79">
        <f t="shared" si="4"/>
        <v>3.6885245901639343</v>
      </c>
      <c r="I15" s="78">
        <f t="shared" si="5"/>
        <v>2</v>
      </c>
      <c r="J15" s="78">
        <f t="shared" si="6"/>
        <v>61</v>
      </c>
      <c r="Q15" t="str">
        <f t="shared" si="2"/>
        <v>20104</v>
      </c>
    </row>
    <row r="16" spans="1:17" ht="12.75">
      <c r="A16" s="73">
        <v>40291</v>
      </c>
      <c r="B16" s="74">
        <v>10</v>
      </c>
      <c r="C16" s="99">
        <v>15</v>
      </c>
      <c r="D16" s="146">
        <f t="shared" si="1"/>
        <v>150</v>
      </c>
      <c r="E16" s="75">
        <v>226214</v>
      </c>
      <c r="F16" s="76">
        <f t="shared" si="7"/>
        <v>198</v>
      </c>
      <c r="G16" s="77">
        <f t="shared" si="3"/>
        <v>5.05050505050505</v>
      </c>
      <c r="H16" s="79">
        <f t="shared" si="4"/>
        <v>0.7575757575757576</v>
      </c>
      <c r="I16" s="78">
        <f t="shared" si="5"/>
        <v>2</v>
      </c>
      <c r="J16" s="78">
        <f t="shared" si="6"/>
        <v>99</v>
      </c>
      <c r="Q16" t="str">
        <f t="shared" si="2"/>
        <v>20104</v>
      </c>
    </row>
    <row r="17" spans="1:17" ht="12.75">
      <c r="A17" s="73">
        <v>40293</v>
      </c>
      <c r="B17" s="74">
        <v>20</v>
      </c>
      <c r="C17" s="99">
        <v>15</v>
      </c>
      <c r="D17" s="146">
        <f>B17*C17</f>
        <v>300</v>
      </c>
      <c r="E17" s="75">
        <v>226412</v>
      </c>
      <c r="F17" s="76">
        <f t="shared" si="7"/>
        <v>194</v>
      </c>
      <c r="G17" s="77">
        <f t="shared" si="3"/>
        <v>10.309278350515463</v>
      </c>
      <c r="H17" s="79">
        <f t="shared" si="4"/>
        <v>1.5463917525773196</v>
      </c>
      <c r="I17" s="78">
        <f t="shared" si="5"/>
        <v>5</v>
      </c>
      <c r="J17" s="78">
        <f t="shared" si="6"/>
        <v>38.8</v>
      </c>
      <c r="Q17" t="str">
        <f t="shared" si="2"/>
        <v>20104</v>
      </c>
    </row>
    <row r="18" spans="1:17" ht="12.75">
      <c r="A18" s="73">
        <v>40298</v>
      </c>
      <c r="B18" s="74">
        <v>20</v>
      </c>
      <c r="C18" s="99">
        <v>15</v>
      </c>
      <c r="D18" s="146">
        <f>B18*C18</f>
        <v>300</v>
      </c>
      <c r="E18" s="75">
        <v>226606</v>
      </c>
      <c r="F18" s="76">
        <f t="shared" si="7"/>
        <v>402</v>
      </c>
      <c r="G18" s="77">
        <f t="shared" si="3"/>
        <v>4.975124378109453</v>
      </c>
      <c r="H18" s="79">
        <f t="shared" si="4"/>
        <v>0.746268656716418</v>
      </c>
      <c r="I18" s="78">
        <f t="shared" si="5"/>
        <v>7</v>
      </c>
      <c r="J18" s="78">
        <f t="shared" si="6"/>
        <v>57.42857142857143</v>
      </c>
      <c r="Q18" t="str">
        <f t="shared" si="2"/>
        <v>20104</v>
      </c>
    </row>
    <row r="19" spans="1:17" ht="12.75">
      <c r="A19" s="73">
        <v>40305</v>
      </c>
      <c r="B19" s="74">
        <v>40</v>
      </c>
      <c r="C19" s="99">
        <v>15</v>
      </c>
      <c r="D19" s="146">
        <f t="shared" si="1"/>
        <v>600</v>
      </c>
      <c r="E19" s="75">
        <v>227008</v>
      </c>
      <c r="F19" s="76">
        <f t="shared" si="7"/>
        <v>476</v>
      </c>
      <c r="G19" s="77">
        <f t="shared" si="3"/>
        <v>8.403361344537815</v>
      </c>
      <c r="H19" s="79">
        <f t="shared" si="4"/>
        <v>1.2605042016806722</v>
      </c>
      <c r="I19" s="78">
        <f t="shared" si="5"/>
        <v>3</v>
      </c>
      <c r="J19" s="78">
        <f t="shared" si="6"/>
        <v>158.66666666666666</v>
      </c>
      <c r="Q19" t="str">
        <f t="shared" si="2"/>
        <v>20105</v>
      </c>
    </row>
    <row r="20" spans="1:17" ht="12.75">
      <c r="A20" s="73">
        <v>40308</v>
      </c>
      <c r="B20" s="74">
        <v>20</v>
      </c>
      <c r="C20" s="99">
        <v>15</v>
      </c>
      <c r="D20" s="146">
        <f>B20*C20</f>
        <v>300</v>
      </c>
      <c r="E20" s="75">
        <v>227484</v>
      </c>
      <c r="F20" s="76">
        <f t="shared" si="7"/>
        <v>102</v>
      </c>
      <c r="G20" s="77">
        <f t="shared" si="3"/>
        <v>19.607843137254903</v>
      </c>
      <c r="H20" s="79">
        <f t="shared" si="4"/>
        <v>2.9411764705882355</v>
      </c>
      <c r="I20" s="78">
        <f t="shared" si="5"/>
        <v>1</v>
      </c>
      <c r="J20" s="78">
        <f t="shared" si="6"/>
        <v>102</v>
      </c>
      <c r="Q20" t="str">
        <f t="shared" si="2"/>
        <v>20105</v>
      </c>
    </row>
    <row r="21" spans="1:17" ht="12.75">
      <c r="A21" s="73">
        <v>40309</v>
      </c>
      <c r="B21" s="74">
        <v>40</v>
      </c>
      <c r="C21" s="99">
        <v>15</v>
      </c>
      <c r="D21" s="146">
        <f>B21*C21</f>
        <v>600</v>
      </c>
      <c r="E21" s="75">
        <v>227586</v>
      </c>
      <c r="F21" s="76">
        <f t="shared" si="7"/>
        <v>412</v>
      </c>
      <c r="G21" s="77">
        <f t="shared" si="3"/>
        <v>9.70873786407767</v>
      </c>
      <c r="H21" s="79">
        <f t="shared" si="4"/>
        <v>1.4563106796116505</v>
      </c>
      <c r="I21" s="78">
        <f t="shared" si="5"/>
        <v>8</v>
      </c>
      <c r="J21" s="78">
        <f t="shared" si="6"/>
        <v>51.5</v>
      </c>
      <c r="Q21" t="str">
        <f t="shared" si="2"/>
        <v>20105</v>
      </c>
    </row>
    <row r="22" spans="1:17" ht="12.75">
      <c r="A22" s="73">
        <v>40317</v>
      </c>
      <c r="B22" s="74">
        <v>20</v>
      </c>
      <c r="C22" s="99">
        <v>22.5</v>
      </c>
      <c r="D22" s="75">
        <f t="shared" si="1"/>
        <v>450</v>
      </c>
      <c r="E22" s="75">
        <v>227998</v>
      </c>
      <c r="F22" s="76">
        <f t="shared" si="7"/>
        <v>181</v>
      </c>
      <c r="G22" s="77">
        <f t="shared" si="3"/>
        <v>11.049723756906078</v>
      </c>
      <c r="H22" s="79">
        <f t="shared" si="4"/>
        <v>2.4861878453038675</v>
      </c>
      <c r="I22" s="78">
        <f t="shared" si="5"/>
        <v>2</v>
      </c>
      <c r="J22" s="78">
        <f t="shared" si="6"/>
        <v>90.5</v>
      </c>
      <c r="Q22" t="str">
        <f t="shared" si="2"/>
        <v>20105</v>
      </c>
    </row>
    <row r="23" spans="1:17" ht="12.75">
      <c r="A23" s="73">
        <v>40319</v>
      </c>
      <c r="B23" s="74">
        <v>20</v>
      </c>
      <c r="C23" s="99">
        <v>22.5</v>
      </c>
      <c r="D23" s="75">
        <f>B23*C23</f>
        <v>450</v>
      </c>
      <c r="E23" s="75">
        <v>228179</v>
      </c>
      <c r="F23" s="76">
        <f t="shared" si="7"/>
        <v>160</v>
      </c>
      <c r="G23" s="77">
        <f t="shared" si="3"/>
        <v>12.5</v>
      </c>
      <c r="H23" s="79">
        <f t="shared" si="4"/>
        <v>2.8125</v>
      </c>
      <c r="I23" s="78">
        <f t="shared" si="5"/>
        <v>5</v>
      </c>
      <c r="J23" s="78">
        <f t="shared" si="6"/>
        <v>32</v>
      </c>
      <c r="Q23" t="str">
        <f t="shared" si="2"/>
        <v>20105</v>
      </c>
    </row>
    <row r="24" spans="1:17" ht="12.75">
      <c r="A24" s="73">
        <v>40324</v>
      </c>
      <c r="B24" s="74">
        <v>20</v>
      </c>
      <c r="C24" s="99">
        <v>22.5</v>
      </c>
      <c r="D24" s="75">
        <f>B24*C24</f>
        <v>450</v>
      </c>
      <c r="E24" s="75">
        <v>228339</v>
      </c>
      <c r="F24" s="76">
        <f t="shared" si="7"/>
        <v>210</v>
      </c>
      <c r="G24" s="77">
        <f t="shared" si="3"/>
        <v>9.523809523809524</v>
      </c>
      <c r="H24" s="79">
        <f t="shared" si="4"/>
        <v>2.142857142857143</v>
      </c>
      <c r="I24" s="78">
        <f t="shared" si="5"/>
        <v>2</v>
      </c>
      <c r="J24" s="78">
        <f t="shared" si="6"/>
        <v>105</v>
      </c>
      <c r="Q24" t="str">
        <f t="shared" si="2"/>
        <v>20105</v>
      </c>
    </row>
    <row r="25" spans="1:17" ht="12.75">
      <c r="A25" s="73">
        <v>40326</v>
      </c>
      <c r="B25" s="74">
        <v>20</v>
      </c>
      <c r="C25" s="99">
        <v>22.5</v>
      </c>
      <c r="D25" s="75">
        <f>B25*C25</f>
        <v>450</v>
      </c>
      <c r="E25" s="75">
        <v>228549</v>
      </c>
      <c r="F25" s="76">
        <f t="shared" si="7"/>
        <v>189</v>
      </c>
      <c r="G25" s="77">
        <f t="shared" si="3"/>
        <v>10.582010582010582</v>
      </c>
      <c r="H25" s="79">
        <f t="shared" si="4"/>
        <v>2.380952380952381</v>
      </c>
      <c r="I25" s="78">
        <f t="shared" si="5"/>
        <v>3</v>
      </c>
      <c r="J25" s="78">
        <f t="shared" si="6"/>
        <v>63</v>
      </c>
      <c r="Q25" t="str">
        <f t="shared" si="2"/>
        <v>20105</v>
      </c>
    </row>
    <row r="26" spans="1:17" ht="12.75">
      <c r="A26" s="73">
        <v>40329</v>
      </c>
      <c r="B26" s="74">
        <v>20</v>
      </c>
      <c r="C26" s="99">
        <v>22.5</v>
      </c>
      <c r="D26" s="75">
        <f>B26*C26</f>
        <v>450</v>
      </c>
      <c r="E26" s="75">
        <v>228738</v>
      </c>
      <c r="F26" s="76">
        <f>IF(E27&gt;0,E27-E26,0)</f>
        <v>110</v>
      </c>
      <c r="G26" s="77">
        <f t="shared" si="3"/>
        <v>18.181818181818183</v>
      </c>
      <c r="H26" s="79">
        <f t="shared" si="4"/>
        <v>4.090909090909091</v>
      </c>
      <c r="I26" s="78">
        <f t="shared" si="5"/>
        <v>2</v>
      </c>
      <c r="J26" s="78">
        <f t="shared" si="6"/>
        <v>55</v>
      </c>
      <c r="Q26" t="str">
        <f t="shared" si="2"/>
        <v>20105</v>
      </c>
    </row>
    <row r="27" spans="1:17" ht="12.75">
      <c r="A27" s="73">
        <v>40331</v>
      </c>
      <c r="B27" s="74">
        <v>40</v>
      </c>
      <c r="C27" s="99">
        <v>15</v>
      </c>
      <c r="D27" s="146">
        <f>B27*C27</f>
        <v>600</v>
      </c>
      <c r="E27" s="75">
        <v>228848</v>
      </c>
      <c r="F27" s="76">
        <f t="shared" si="7"/>
        <v>471</v>
      </c>
      <c r="G27" s="77">
        <f t="shared" si="3"/>
        <v>8.492569002123142</v>
      </c>
      <c r="H27" s="79">
        <f t="shared" si="4"/>
        <v>1.2738853503184713</v>
      </c>
      <c r="I27" s="78">
        <f t="shared" si="5"/>
        <v>7</v>
      </c>
      <c r="J27" s="78">
        <f t="shared" si="6"/>
        <v>67.28571428571429</v>
      </c>
      <c r="Q27" t="str">
        <f t="shared" si="2"/>
        <v>20106</v>
      </c>
    </row>
    <row r="28" spans="1:17" ht="12.75">
      <c r="A28" s="73">
        <v>40338</v>
      </c>
      <c r="B28" s="74">
        <v>40</v>
      </c>
      <c r="C28" s="99">
        <v>15</v>
      </c>
      <c r="D28" s="146">
        <f t="shared" si="1"/>
        <v>600</v>
      </c>
      <c r="E28" s="75">
        <v>229319</v>
      </c>
      <c r="F28" s="76">
        <f t="shared" si="7"/>
        <v>320</v>
      </c>
      <c r="G28" s="77">
        <f t="shared" si="3"/>
        <v>12.5</v>
      </c>
      <c r="H28" s="79">
        <f t="shared" si="4"/>
        <v>1.875</v>
      </c>
      <c r="I28" s="78">
        <f t="shared" si="5"/>
        <v>4</v>
      </c>
      <c r="J28" s="78">
        <f t="shared" si="6"/>
        <v>80</v>
      </c>
      <c r="L28" s="55" t="s">
        <v>126</v>
      </c>
      <c r="M28" s="11">
        <f>SUMIF(Q$3:Q$1111,200812,F$3:F$1111)</f>
        <v>0</v>
      </c>
      <c r="N28" s="56">
        <f>IF(M28&gt;0,SUMIF(Q$3:Q$1131,200812,B$3:B$1131)/M28*100,0)</f>
        <v>0</v>
      </c>
      <c r="Q28" t="str">
        <f t="shared" si="2"/>
        <v>20106</v>
      </c>
    </row>
    <row r="29" spans="1:17" ht="12.75">
      <c r="A29" s="73">
        <v>40342</v>
      </c>
      <c r="B29" s="74">
        <v>20</v>
      </c>
      <c r="C29" s="99">
        <v>21</v>
      </c>
      <c r="D29" s="75">
        <f t="shared" si="1"/>
        <v>420</v>
      </c>
      <c r="E29" s="75">
        <v>229639</v>
      </c>
      <c r="F29" s="76">
        <f t="shared" si="7"/>
        <v>182</v>
      </c>
      <c r="G29" s="77">
        <f t="shared" si="3"/>
        <v>10.989010989010989</v>
      </c>
      <c r="H29" s="79">
        <f t="shared" si="4"/>
        <v>2.3076923076923075</v>
      </c>
      <c r="I29" s="78">
        <f t="shared" si="5"/>
        <v>1</v>
      </c>
      <c r="J29" s="78">
        <f t="shared" si="6"/>
        <v>182</v>
      </c>
      <c r="L29" s="55" t="s">
        <v>127</v>
      </c>
      <c r="M29" s="11">
        <f>SUMIF(Q$3:Q$1111,20091,F$3:F$1111)</f>
        <v>0</v>
      </c>
      <c r="N29" s="56">
        <f>IF(M29&gt;0,SUMIF(Q$3:Q$1131,20091,B$3:B$1131)/M29*100,0)</f>
        <v>0</v>
      </c>
      <c r="Q29" t="str">
        <f t="shared" si="2"/>
        <v>20106</v>
      </c>
    </row>
    <row r="30" spans="1:17" ht="12.75">
      <c r="A30" s="73">
        <v>40343</v>
      </c>
      <c r="B30" s="74">
        <v>50</v>
      </c>
      <c r="C30" s="99">
        <v>15</v>
      </c>
      <c r="D30" s="146">
        <f t="shared" si="1"/>
        <v>750</v>
      </c>
      <c r="E30" s="75">
        <v>229821</v>
      </c>
      <c r="F30" s="76">
        <f t="shared" si="7"/>
        <v>424</v>
      </c>
      <c r="G30" s="77">
        <f t="shared" si="3"/>
        <v>11.79245283018868</v>
      </c>
      <c r="H30" s="79">
        <f t="shared" si="4"/>
        <v>1.7688679245283019</v>
      </c>
      <c r="I30" s="78">
        <f t="shared" si="5"/>
        <v>11</v>
      </c>
      <c r="J30" s="78">
        <f t="shared" si="6"/>
        <v>38.54545454545455</v>
      </c>
      <c r="L30" s="55" t="s">
        <v>128</v>
      </c>
      <c r="M30" s="11">
        <f>SUMIF(Q$3:Q$1111,20092,F$3:F$1111)</f>
        <v>0</v>
      </c>
      <c r="N30" s="56">
        <f>IF(M30&gt;0,SUMIF(Q$3:Q$1111,20092,B$3:B$1111)/M30*100,0)</f>
        <v>0</v>
      </c>
      <c r="Q30" t="str">
        <f t="shared" si="2"/>
        <v>20106</v>
      </c>
    </row>
    <row r="31" spans="1:17" ht="12.75">
      <c r="A31" s="73">
        <v>40354</v>
      </c>
      <c r="B31" s="74">
        <v>20</v>
      </c>
      <c r="C31" s="99">
        <v>22.5</v>
      </c>
      <c r="D31" s="75">
        <f t="shared" si="1"/>
        <v>450</v>
      </c>
      <c r="E31" s="75">
        <v>230245</v>
      </c>
      <c r="F31" s="76">
        <f t="shared" si="7"/>
        <v>197</v>
      </c>
      <c r="G31" s="77">
        <f t="shared" si="3"/>
        <v>10.152284263959391</v>
      </c>
      <c r="H31" s="79">
        <f t="shared" si="4"/>
        <v>2.284263959390863</v>
      </c>
      <c r="I31" s="78">
        <f t="shared" si="5"/>
        <v>4</v>
      </c>
      <c r="J31" s="78">
        <f t="shared" si="6"/>
        <v>49.25</v>
      </c>
      <c r="L31" s="55" t="s">
        <v>116</v>
      </c>
      <c r="M31" s="11">
        <f>SUMIF(Q$3:Q$1111,20093,F$3:F$1111)</f>
        <v>0</v>
      </c>
      <c r="N31" s="56">
        <f>IF(M31&gt;0,SUMIF(Q$3:Q$1111,20093,B$3:B$1111)/M31*100,0)</f>
        <v>0</v>
      </c>
      <c r="Q31" t="str">
        <f t="shared" si="2"/>
        <v>20106</v>
      </c>
    </row>
    <row r="32" spans="1:17" ht="12.75">
      <c r="A32" s="73">
        <v>40358</v>
      </c>
      <c r="B32" s="74">
        <v>20</v>
      </c>
      <c r="C32" s="99">
        <v>22.5</v>
      </c>
      <c r="D32" s="80">
        <f t="shared" si="1"/>
        <v>450</v>
      </c>
      <c r="E32" s="80">
        <v>230442</v>
      </c>
      <c r="F32" s="76">
        <f t="shared" si="7"/>
        <v>108</v>
      </c>
      <c r="G32" s="77">
        <f t="shared" si="3"/>
        <v>18.51851851851852</v>
      </c>
      <c r="H32" s="79">
        <f t="shared" si="4"/>
        <v>4.166666666666667</v>
      </c>
      <c r="I32" s="78">
        <f t="shared" si="5"/>
        <v>2</v>
      </c>
      <c r="J32" s="78">
        <f t="shared" si="6"/>
        <v>54</v>
      </c>
      <c r="L32" s="55" t="s">
        <v>117</v>
      </c>
      <c r="M32" s="11">
        <f>SUMIF(Q$3:Q$1111,20094,F$3:F$1111)</f>
        <v>0</v>
      </c>
      <c r="N32" s="56">
        <f>IF(M32&gt;0,SUMIF(Q$3:Q$1111,20094,B$3:B$1111)/M32*100,0)</f>
        <v>0</v>
      </c>
      <c r="Q32" t="str">
        <f t="shared" si="2"/>
        <v>20106</v>
      </c>
    </row>
    <row r="33" spans="1:17" ht="12.75">
      <c r="A33" s="73">
        <v>40360</v>
      </c>
      <c r="B33" s="74">
        <v>40</v>
      </c>
      <c r="C33" s="99">
        <v>15</v>
      </c>
      <c r="D33" s="146">
        <f t="shared" si="1"/>
        <v>600</v>
      </c>
      <c r="E33" s="75">
        <v>230550</v>
      </c>
      <c r="F33" s="76">
        <f t="shared" si="7"/>
        <v>370</v>
      </c>
      <c r="G33" s="77">
        <f t="shared" si="3"/>
        <v>10.81081081081081</v>
      </c>
      <c r="H33" s="79">
        <f t="shared" si="4"/>
        <v>1.6216216216216217</v>
      </c>
      <c r="I33" s="78">
        <f t="shared" si="5"/>
        <v>3</v>
      </c>
      <c r="J33" s="78">
        <f t="shared" si="6"/>
        <v>123.33333333333333</v>
      </c>
      <c r="L33" s="55" t="s">
        <v>11</v>
      </c>
      <c r="M33" s="11">
        <f>SUMIF(Q$3:Q$1111,20095,F$3:F$1111)</f>
        <v>0</v>
      </c>
      <c r="N33" s="56">
        <f>IF(M33&gt;0,SUMIF(Q$3:Q$1111,20095,B$3:B$1111)/M33*100,0)</f>
        <v>0</v>
      </c>
      <c r="Q33" t="str">
        <f t="shared" si="2"/>
        <v>20107</v>
      </c>
    </row>
    <row r="34" spans="1:17" ht="12.75">
      <c r="A34" s="73">
        <v>40363</v>
      </c>
      <c r="B34" s="74">
        <v>20</v>
      </c>
      <c r="C34" s="99">
        <v>20</v>
      </c>
      <c r="D34" s="75">
        <f t="shared" si="1"/>
        <v>400</v>
      </c>
      <c r="E34" s="75">
        <v>230920</v>
      </c>
      <c r="F34" s="76">
        <f t="shared" si="7"/>
        <v>202</v>
      </c>
      <c r="G34" s="77">
        <f t="shared" si="3"/>
        <v>9.900990099009901</v>
      </c>
      <c r="H34" s="79">
        <f t="shared" si="4"/>
        <v>1.9801980198019802</v>
      </c>
      <c r="I34" s="78">
        <f t="shared" si="5"/>
        <v>3</v>
      </c>
      <c r="J34" s="78">
        <f t="shared" si="6"/>
        <v>67.33333333333333</v>
      </c>
      <c r="L34" s="55" t="s">
        <v>120</v>
      </c>
      <c r="M34" s="11">
        <f>SUMIF(Q$3:Q$1111,20096,F$3:F$1111)</f>
        <v>0</v>
      </c>
      <c r="N34" s="56">
        <f>IF(M34&gt;0,SUMIF(Q$3:Q$1111,20096,B$3:B$1111)/M34*100,0)</f>
        <v>0</v>
      </c>
      <c r="Q34" t="str">
        <f t="shared" si="2"/>
        <v>20107</v>
      </c>
    </row>
    <row r="35" spans="1:17" ht="12.75">
      <c r="A35" s="73">
        <v>40366</v>
      </c>
      <c r="B35" s="74">
        <v>20</v>
      </c>
      <c r="C35" s="99">
        <v>15</v>
      </c>
      <c r="D35" s="146">
        <f t="shared" si="1"/>
        <v>300</v>
      </c>
      <c r="E35" s="75">
        <v>231122</v>
      </c>
      <c r="F35" s="76">
        <f t="shared" si="7"/>
        <v>185</v>
      </c>
      <c r="G35" s="77">
        <f t="shared" si="3"/>
        <v>10.81081081081081</v>
      </c>
      <c r="H35" s="79">
        <f t="shared" si="4"/>
        <v>1.6216216216216217</v>
      </c>
      <c r="I35" s="78">
        <f t="shared" si="5"/>
        <v>4</v>
      </c>
      <c r="J35" s="78">
        <f t="shared" si="6"/>
        <v>46.25</v>
      </c>
      <c r="L35" s="55" t="s">
        <v>121</v>
      </c>
      <c r="M35" s="11">
        <f>SUMIF(Q$3:Q$1111,20097,F$3:F$1111)</f>
        <v>0</v>
      </c>
      <c r="N35" s="56">
        <f>IF(M35&gt;0,SUMIF(Q$3:Q$1111,20097,B$3:B$1111)/M35*100,0)</f>
        <v>0</v>
      </c>
      <c r="Q35" t="str">
        <f t="shared" si="2"/>
        <v>20107</v>
      </c>
    </row>
    <row r="36" spans="1:17" ht="12.75">
      <c r="A36" s="73">
        <v>40370</v>
      </c>
      <c r="B36" s="74">
        <v>20</v>
      </c>
      <c r="C36" s="99">
        <v>22.5</v>
      </c>
      <c r="D36" s="75">
        <f t="shared" si="1"/>
        <v>450</v>
      </c>
      <c r="E36" s="75">
        <v>231307</v>
      </c>
      <c r="F36" s="76">
        <f t="shared" si="7"/>
        <v>198</v>
      </c>
      <c r="G36" s="77">
        <f t="shared" si="3"/>
        <v>10.1010101010101</v>
      </c>
      <c r="H36" s="79">
        <f t="shared" si="4"/>
        <v>2.272727272727273</v>
      </c>
      <c r="I36" s="78">
        <f t="shared" si="5"/>
        <v>3</v>
      </c>
      <c r="J36" s="78">
        <f t="shared" si="6"/>
        <v>66</v>
      </c>
      <c r="L36" s="55" t="s">
        <v>122</v>
      </c>
      <c r="M36" s="11">
        <f>SUMIF(Q$3:Q$1111,20098,F$3:F$1111)</f>
        <v>0</v>
      </c>
      <c r="N36" s="56">
        <f>IF(M36&gt;0,SUMIF(Q$3:Q$1111,20098,B$3:B$1111)/M36*100,0)</f>
        <v>0</v>
      </c>
      <c r="Q36" t="str">
        <f t="shared" si="2"/>
        <v>20107</v>
      </c>
    </row>
    <row r="37" spans="1:17" ht="12.75">
      <c r="A37" s="73">
        <v>40373</v>
      </c>
      <c r="B37" s="74">
        <v>40</v>
      </c>
      <c r="C37" s="99">
        <v>15</v>
      </c>
      <c r="D37" s="146">
        <f t="shared" si="1"/>
        <v>600</v>
      </c>
      <c r="E37" s="75">
        <v>231505</v>
      </c>
      <c r="F37" s="76">
        <f t="shared" si="7"/>
        <v>295</v>
      </c>
      <c r="G37" s="77">
        <f t="shared" si="3"/>
        <v>13.559322033898304</v>
      </c>
      <c r="H37" s="79">
        <f t="shared" si="4"/>
        <v>2.0338983050847457</v>
      </c>
      <c r="I37" s="78">
        <f t="shared" si="5"/>
        <v>5</v>
      </c>
      <c r="J37" s="78">
        <f t="shared" si="6"/>
        <v>59</v>
      </c>
      <c r="L37" s="55" t="s">
        <v>123</v>
      </c>
      <c r="M37" s="11">
        <f>SUMIF(Q$3:Q$1111,20099,F$3:F$1111)</f>
        <v>0</v>
      </c>
      <c r="N37" s="56">
        <f>IF(M37&gt;0,SUMIF(Q$3:Q$1111,20099,B$3:B$1111)/M37*100,0)</f>
        <v>0</v>
      </c>
      <c r="Q37" t="str">
        <f t="shared" si="2"/>
        <v>20107</v>
      </c>
    </row>
    <row r="38" spans="1:17" ht="12.75">
      <c r="A38" s="73">
        <v>40378</v>
      </c>
      <c r="B38" s="74">
        <v>50</v>
      </c>
      <c r="C38" s="99">
        <v>15</v>
      </c>
      <c r="D38" s="146">
        <f t="shared" si="1"/>
        <v>750</v>
      </c>
      <c r="E38" s="75">
        <v>231800</v>
      </c>
      <c r="F38" s="76">
        <f t="shared" si="7"/>
        <v>2136</v>
      </c>
      <c r="G38" s="77">
        <f t="shared" si="3"/>
        <v>2.3408239700374533</v>
      </c>
      <c r="H38" s="79">
        <f t="shared" si="4"/>
        <v>0.351123595505618</v>
      </c>
      <c r="I38" s="78">
        <f t="shared" si="5"/>
        <v>6</v>
      </c>
      <c r="J38" s="78">
        <f t="shared" si="6"/>
        <v>356</v>
      </c>
      <c r="L38" s="55" t="s">
        <v>124</v>
      </c>
      <c r="M38" s="11">
        <f>SUMIF(Q$3:Q$1111,200910,F$3:F$1111)</f>
        <v>0</v>
      </c>
      <c r="N38" s="56">
        <f>IF(M38&gt;0,SUMIF(Q$3:Q$1111,200910,B$3:B$1111)/M38*100,0)</f>
        <v>0</v>
      </c>
      <c r="Q38" t="str">
        <f t="shared" si="2"/>
        <v>20107</v>
      </c>
    </row>
    <row r="39" spans="1:17" ht="12.75">
      <c r="A39" s="73">
        <v>40384</v>
      </c>
      <c r="B39" s="74">
        <v>145</v>
      </c>
      <c r="C39" s="99">
        <v>23.16</v>
      </c>
      <c r="D39" s="75">
        <f t="shared" si="1"/>
        <v>3358.2</v>
      </c>
      <c r="E39" s="75">
        <v>233936</v>
      </c>
      <c r="F39" s="76">
        <f t="shared" si="7"/>
        <v>77</v>
      </c>
      <c r="G39" s="77">
        <f t="shared" si="3"/>
        <v>188.31168831168833</v>
      </c>
      <c r="H39" s="79">
        <f t="shared" si="4"/>
        <v>43.61298701298701</v>
      </c>
      <c r="I39" s="78">
        <f t="shared" si="5"/>
        <v>2</v>
      </c>
      <c r="J39" s="78">
        <f t="shared" si="6"/>
        <v>38.5</v>
      </c>
      <c r="L39" s="55" t="s">
        <v>125</v>
      </c>
      <c r="M39" s="11">
        <f>SUMIF(Q$3:Q$1111,200911,F$3:F$1111)</f>
        <v>0</v>
      </c>
      <c r="N39" s="56">
        <f>IF(M39&gt;0,SUMIF(Q$3:Q$1111,200911,B$3:B$1111)/M39*100,0)</f>
        <v>0</v>
      </c>
      <c r="P39" s="17"/>
      <c r="Q39" t="str">
        <f t="shared" si="2"/>
        <v>20107</v>
      </c>
    </row>
    <row r="40" spans="1:17" ht="12.75">
      <c r="A40" s="73">
        <v>40386</v>
      </c>
      <c r="B40" s="74">
        <v>20</v>
      </c>
      <c r="C40" s="99">
        <v>22.5</v>
      </c>
      <c r="D40" s="75">
        <f t="shared" si="1"/>
        <v>450</v>
      </c>
      <c r="E40" s="75">
        <v>234013</v>
      </c>
      <c r="F40" s="76">
        <f t="shared" si="7"/>
        <v>182</v>
      </c>
      <c r="G40" s="77">
        <f t="shared" si="3"/>
        <v>10.989010989010989</v>
      </c>
      <c r="H40" s="79">
        <f t="shared" si="4"/>
        <v>2.4725274725274726</v>
      </c>
      <c r="I40" s="78">
        <f t="shared" si="5"/>
        <v>4</v>
      </c>
      <c r="J40" s="78">
        <f t="shared" si="6"/>
        <v>45.5</v>
      </c>
      <c r="L40" s="55" t="s">
        <v>126</v>
      </c>
      <c r="M40" s="11">
        <f>SUMIF(Q$3:Q$1111,200912,F$3:F$1111)</f>
        <v>0</v>
      </c>
      <c r="N40" s="56">
        <f>IF(M40&gt;0,SUMIF(Q$3:Q$1111,200912,B$3:B$1111)/M40*100,0)</f>
        <v>0</v>
      </c>
      <c r="P40" s="17"/>
      <c r="Q40" t="str">
        <f t="shared" si="2"/>
        <v>20107</v>
      </c>
    </row>
    <row r="41" spans="1:17" ht="12.75">
      <c r="A41" s="73">
        <v>40390</v>
      </c>
      <c r="B41" s="74">
        <v>20</v>
      </c>
      <c r="C41" s="99">
        <v>22.5</v>
      </c>
      <c r="D41" s="75">
        <f t="shared" si="1"/>
        <v>450</v>
      </c>
      <c r="E41" s="75">
        <v>234195</v>
      </c>
      <c r="F41" s="76">
        <f t="shared" si="7"/>
        <v>187</v>
      </c>
      <c r="G41" s="77">
        <f t="shared" si="3"/>
        <v>10.695187165775401</v>
      </c>
      <c r="H41" s="79">
        <f t="shared" si="4"/>
        <v>2.406417112299465</v>
      </c>
      <c r="I41" s="78">
        <f t="shared" si="5"/>
        <v>4</v>
      </c>
      <c r="J41" s="78">
        <f t="shared" si="6"/>
        <v>46.75</v>
      </c>
      <c r="L41" s="55" t="s">
        <v>127</v>
      </c>
      <c r="M41" s="76">
        <f>SUMIF(Q$3:Q$1111,20101,F$3:F$1111)</f>
        <v>0</v>
      </c>
      <c r="N41" s="154">
        <f>IF(M41&gt;0,SUMIF(Q$3:Q$1131,20101,B$3:B$1131)/M41*100,0)</f>
        <v>0</v>
      </c>
      <c r="P41" s="17"/>
      <c r="Q41" t="str">
        <f t="shared" si="2"/>
        <v>20107</v>
      </c>
    </row>
    <row r="42" spans="1:17" ht="12.75">
      <c r="A42" s="73">
        <v>40394</v>
      </c>
      <c r="B42" s="74">
        <v>30</v>
      </c>
      <c r="C42" s="99">
        <v>15</v>
      </c>
      <c r="D42" s="75">
        <f t="shared" si="1"/>
        <v>450</v>
      </c>
      <c r="E42" s="75">
        <v>234382</v>
      </c>
      <c r="F42" s="76">
        <f t="shared" si="7"/>
        <v>295</v>
      </c>
      <c r="G42" s="77">
        <f t="shared" si="3"/>
        <v>10.16949152542373</v>
      </c>
      <c r="H42" s="79">
        <f t="shared" si="4"/>
        <v>1.5254237288135593</v>
      </c>
      <c r="I42" s="78">
        <f t="shared" si="5"/>
        <v>5</v>
      </c>
      <c r="J42" s="78">
        <f t="shared" si="6"/>
        <v>59</v>
      </c>
      <c r="L42" s="55" t="s">
        <v>128</v>
      </c>
      <c r="M42" s="76">
        <f>SUMIF(Q$3:Q$1111,20102,F$3:F$1111)</f>
        <v>399</v>
      </c>
      <c r="N42" s="154">
        <f>IF(M42&gt;0,SUMIF(Q$3:Q$1111,20102,B$3:B$1111)/M42*100,0)</f>
        <v>15.037593984962406</v>
      </c>
      <c r="P42" s="17"/>
      <c r="Q42" t="str">
        <f t="shared" si="2"/>
        <v>20108</v>
      </c>
    </row>
    <row r="43" spans="1:17" ht="12.75">
      <c r="A43" s="73">
        <v>40399</v>
      </c>
      <c r="B43" s="74">
        <v>20</v>
      </c>
      <c r="C43" s="99">
        <v>22.5</v>
      </c>
      <c r="D43" s="75">
        <f t="shared" si="1"/>
        <v>450</v>
      </c>
      <c r="E43" s="75">
        <v>234677</v>
      </c>
      <c r="F43" s="76">
        <f t="shared" si="7"/>
        <v>166</v>
      </c>
      <c r="G43" s="77">
        <f t="shared" si="3"/>
        <v>12.048192771084338</v>
      </c>
      <c r="H43" s="79">
        <f t="shared" si="4"/>
        <v>2.710843373493976</v>
      </c>
      <c r="I43" s="78">
        <f t="shared" si="5"/>
        <v>3</v>
      </c>
      <c r="J43" s="78">
        <f t="shared" si="6"/>
        <v>55.333333333333336</v>
      </c>
      <c r="L43" s="55" t="s">
        <v>116</v>
      </c>
      <c r="M43" s="76">
        <f>SUMIF(Q$3:Q$1111,20103,F$3:F$1111)</f>
        <v>2128</v>
      </c>
      <c r="N43" s="154">
        <f>IF(M43&gt;0,SUMIF(Q$3:Q$1111,20103,B$3:B$1111)/M43*100,0)</f>
        <v>12.359022556390977</v>
      </c>
      <c r="P43" s="17"/>
      <c r="Q43" t="str">
        <f t="shared" si="2"/>
        <v>20108</v>
      </c>
    </row>
    <row r="44" spans="1:17" ht="12.75">
      <c r="A44" s="73">
        <v>40402</v>
      </c>
      <c r="B44" s="74">
        <v>20</v>
      </c>
      <c r="C44" s="99">
        <v>22.5</v>
      </c>
      <c r="D44" s="75">
        <f t="shared" si="1"/>
        <v>450</v>
      </c>
      <c r="E44" s="75">
        <v>234843</v>
      </c>
      <c r="F44" s="76">
        <f t="shared" si="7"/>
        <v>204</v>
      </c>
      <c r="G44" s="77">
        <f t="shared" si="3"/>
        <v>9.803921568627452</v>
      </c>
      <c r="H44" s="79">
        <f t="shared" si="4"/>
        <v>2.2058823529411766</v>
      </c>
      <c r="I44" s="78">
        <f t="shared" si="5"/>
        <v>3</v>
      </c>
      <c r="J44" s="78">
        <f t="shared" si="6"/>
        <v>68</v>
      </c>
      <c r="L44" s="55" t="s">
        <v>117</v>
      </c>
      <c r="M44" s="76">
        <f>SUMIF(Q$3:Q$1111,20104,F$3:F$1111)</f>
        <v>1688</v>
      </c>
      <c r="N44" s="154">
        <f>IF(M44&gt;0,SUMIF(Q$3:Q$1111,20104,B$3:B$1111)/M44*100,0)</f>
        <v>10.66350710900474</v>
      </c>
      <c r="P44" s="17"/>
      <c r="Q44" t="str">
        <f t="shared" si="2"/>
        <v>20108</v>
      </c>
    </row>
    <row r="45" spans="1:17" ht="12.75">
      <c r="A45" s="73">
        <v>40405</v>
      </c>
      <c r="B45" s="74">
        <v>20</v>
      </c>
      <c r="C45" s="99">
        <v>22.5</v>
      </c>
      <c r="D45" s="75">
        <f t="shared" si="1"/>
        <v>450</v>
      </c>
      <c r="E45" s="75">
        <v>235047</v>
      </c>
      <c r="F45" s="76">
        <f t="shared" si="7"/>
        <v>153</v>
      </c>
      <c r="G45" s="77">
        <f t="shared" si="3"/>
        <v>13.071895424836603</v>
      </c>
      <c r="H45" s="79">
        <f t="shared" si="4"/>
        <v>2.9411764705882355</v>
      </c>
      <c r="I45" s="78">
        <f t="shared" si="5"/>
        <v>4</v>
      </c>
      <c r="J45" s="78">
        <f t="shared" si="6"/>
        <v>38.25</v>
      </c>
      <c r="L45" s="55" t="s">
        <v>11</v>
      </c>
      <c r="M45" s="76">
        <f>SUMIF(Q$3:Q$1111,20105,F$3:F$1111)</f>
        <v>1840</v>
      </c>
      <c r="N45" s="154">
        <f>IF(M45&gt;0,SUMIF(Q$3:Q$1111,20105,B$3:B$1111)/M45*100,0)</f>
        <v>10.869565217391305</v>
      </c>
      <c r="P45" s="17"/>
      <c r="Q45" t="str">
        <f t="shared" si="2"/>
        <v>20108</v>
      </c>
    </row>
    <row r="46" spans="1:17" ht="12.75">
      <c r="A46" s="73">
        <v>40409</v>
      </c>
      <c r="B46" s="74">
        <v>30</v>
      </c>
      <c r="C46" s="99">
        <v>22.5</v>
      </c>
      <c r="D46" s="75">
        <f t="shared" si="1"/>
        <v>675</v>
      </c>
      <c r="E46" s="75">
        <v>235200</v>
      </c>
      <c r="F46" s="76">
        <f t="shared" si="7"/>
        <v>255</v>
      </c>
      <c r="G46" s="77">
        <f t="shared" si="3"/>
        <v>11.76470588235294</v>
      </c>
      <c r="H46" s="79">
        <f t="shared" si="4"/>
        <v>2.6470588235294117</v>
      </c>
      <c r="I46" s="78">
        <f t="shared" si="5"/>
        <v>4</v>
      </c>
      <c r="J46" s="78">
        <f t="shared" si="6"/>
        <v>63.75</v>
      </c>
      <c r="L46" s="55" t="s">
        <v>120</v>
      </c>
      <c r="M46" s="76">
        <f>SUMIF(Q$3:Q$1111,20106,F$3:F$1111)</f>
        <v>1702</v>
      </c>
      <c r="N46" s="154">
        <f>IF(M46&gt;0,SUMIF(Q$3:Q$1111,20106,B$3:B$1111)/M46*100,0)</f>
        <v>11.163337250293772</v>
      </c>
      <c r="Q46" t="str">
        <f t="shared" si="2"/>
        <v>20108</v>
      </c>
    </row>
    <row r="47" spans="1:17" ht="12.75">
      <c r="A47" s="73">
        <v>40413</v>
      </c>
      <c r="B47" s="74">
        <v>44.44</v>
      </c>
      <c r="C47" s="99">
        <v>22.5</v>
      </c>
      <c r="D47" s="75">
        <f t="shared" si="1"/>
        <v>999.9</v>
      </c>
      <c r="E47" s="75">
        <v>235455</v>
      </c>
      <c r="F47" s="76">
        <f t="shared" si="7"/>
        <v>411</v>
      </c>
      <c r="G47" s="77">
        <f t="shared" si="3"/>
        <v>10.81265206812652</v>
      </c>
      <c r="H47" s="79">
        <f t="shared" si="4"/>
        <v>2.432846715328467</v>
      </c>
      <c r="I47" s="78">
        <f t="shared" si="5"/>
        <v>9</v>
      </c>
      <c r="J47" s="78">
        <f t="shared" si="6"/>
        <v>45.666666666666664</v>
      </c>
      <c r="L47" s="55" t="s">
        <v>121</v>
      </c>
      <c r="M47" s="76">
        <f>SUMIF(Q$3:Q$1111,20107,F$3:F$1111)</f>
        <v>3832</v>
      </c>
      <c r="N47" s="154">
        <f>IF(M47&gt;0,SUMIF(Q$3:Q$1111,20107,B$3:B$1111)/M47*100,0)</f>
        <v>9.786012526096034</v>
      </c>
      <c r="Q47" t="str">
        <f t="shared" si="2"/>
        <v>20108</v>
      </c>
    </row>
    <row r="48" spans="1:17" ht="12.75">
      <c r="A48" s="73">
        <v>40422</v>
      </c>
      <c r="B48" s="74">
        <v>20</v>
      </c>
      <c r="C48" s="99">
        <v>22.5</v>
      </c>
      <c r="D48" s="75">
        <f t="shared" si="1"/>
        <v>450</v>
      </c>
      <c r="E48" s="75">
        <v>235866</v>
      </c>
      <c r="F48" s="76">
        <f t="shared" si="7"/>
        <v>141</v>
      </c>
      <c r="G48" s="77">
        <f t="shared" si="3"/>
        <v>14.184397163120568</v>
      </c>
      <c r="H48" s="79">
        <f t="shared" si="4"/>
        <v>3.1914893617021276</v>
      </c>
      <c r="I48" s="78">
        <f t="shared" si="5"/>
        <v>3</v>
      </c>
      <c r="J48" s="78">
        <f t="shared" si="6"/>
        <v>47</v>
      </c>
      <c r="L48" s="55" t="s">
        <v>122</v>
      </c>
      <c r="M48" s="76">
        <f>SUMIF(Q$3:Q$1111,20108,F$3:F$1111)</f>
        <v>1484</v>
      </c>
      <c r="N48" s="154">
        <f>IF(M48&gt;0,SUMIF(Q$3:Q$1111,20108,B$3:B$1111)/M48*100,0)</f>
        <v>11.080862533692722</v>
      </c>
      <c r="Q48" t="str">
        <f t="shared" si="2"/>
        <v>20109</v>
      </c>
    </row>
    <row r="49" spans="1:17" ht="12.75">
      <c r="A49" s="73">
        <v>40425</v>
      </c>
      <c r="B49" s="74">
        <v>20</v>
      </c>
      <c r="C49" s="99">
        <v>22.5</v>
      </c>
      <c r="D49" s="75">
        <f t="shared" si="1"/>
        <v>450</v>
      </c>
      <c r="E49" s="75">
        <v>236007</v>
      </c>
      <c r="F49" s="76">
        <f>IF(E50&gt;0,E50-E49,0)</f>
        <v>225</v>
      </c>
      <c r="G49" s="77">
        <f>IF(F49&gt;0,B49/F49*100,0)</f>
        <v>8.88888888888889</v>
      </c>
      <c r="H49" s="79">
        <f>IF(F49&gt;0,D49/F49,0)</f>
        <v>2</v>
      </c>
      <c r="I49" s="78">
        <f>IF(F49&gt;0,A50-A49,0)</f>
        <v>3</v>
      </c>
      <c r="J49" s="78">
        <f>IF(F49&gt;0,F49/I49,0)</f>
        <v>75</v>
      </c>
      <c r="L49" s="55" t="s">
        <v>123</v>
      </c>
      <c r="M49" s="76">
        <f>SUMIF(Q$3:Q$1111,20109,F$3:F$1111)</f>
        <v>958</v>
      </c>
      <c r="N49" s="154">
        <f>IF(M49&gt;0,SUMIF(Q$3:Q$1111,20109,B$3:B$1111)/M49*100,0)</f>
        <v>10.438413361169102</v>
      </c>
      <c r="Q49" t="str">
        <f t="shared" si="2"/>
        <v>20109</v>
      </c>
    </row>
    <row r="50" spans="1:17" ht="12.75">
      <c r="A50" s="73">
        <v>40428</v>
      </c>
      <c r="B50" s="74">
        <v>20</v>
      </c>
      <c r="C50" s="99">
        <v>22.5</v>
      </c>
      <c r="D50" s="75">
        <f t="shared" si="1"/>
        <v>450</v>
      </c>
      <c r="E50" s="75">
        <v>236232</v>
      </c>
      <c r="F50" s="76">
        <f t="shared" si="7"/>
        <v>178</v>
      </c>
      <c r="G50" s="77">
        <f t="shared" si="3"/>
        <v>11.235955056179774</v>
      </c>
      <c r="H50" s="79">
        <f t="shared" si="4"/>
        <v>2.5280898876404496</v>
      </c>
      <c r="I50" s="78">
        <f t="shared" si="5"/>
        <v>12</v>
      </c>
      <c r="J50" s="78">
        <f t="shared" si="6"/>
        <v>14.833333333333334</v>
      </c>
      <c r="L50" s="55" t="s">
        <v>124</v>
      </c>
      <c r="M50" s="76">
        <f>SUMIF(Q$3:Q$1111,201010,F$3:F$1111)</f>
        <v>812</v>
      </c>
      <c r="N50" s="154">
        <f>IF(M50&gt;0,SUMIF(Q$3:Q$1111,201010,B$3:B$1111)/M50*100,0)</f>
        <v>13.39655172413793</v>
      </c>
      <c r="Q50" t="str">
        <f t="shared" si="2"/>
        <v>20109</v>
      </c>
    </row>
    <row r="51" spans="1:17" ht="12.75">
      <c r="A51" s="73">
        <v>40440</v>
      </c>
      <c r="B51" s="74">
        <v>20</v>
      </c>
      <c r="C51" s="99">
        <v>23</v>
      </c>
      <c r="D51" s="75">
        <f t="shared" si="1"/>
        <v>460</v>
      </c>
      <c r="E51" s="75">
        <v>236410</v>
      </c>
      <c r="F51" s="76">
        <f t="shared" si="7"/>
        <v>265</v>
      </c>
      <c r="G51" s="77">
        <f t="shared" si="3"/>
        <v>7.547169811320755</v>
      </c>
      <c r="H51" s="79">
        <f t="shared" si="4"/>
        <v>1.7358490566037736</v>
      </c>
      <c r="I51" s="78">
        <f t="shared" si="5"/>
        <v>6</v>
      </c>
      <c r="J51" s="78">
        <f t="shared" si="6"/>
        <v>44.166666666666664</v>
      </c>
      <c r="L51" s="55" t="s">
        <v>125</v>
      </c>
      <c r="M51" s="76">
        <f>SUMIF(Q$3:Q$1111,201011,F$3:F$1111)</f>
        <v>1259</v>
      </c>
      <c r="N51" s="154">
        <f>IF(M51&gt;0,SUMIF(Q$3:Q$1111,201011,B$3:B$1111)/M51*100,0)</f>
        <v>13.956632247815726</v>
      </c>
      <c r="Q51" t="str">
        <f t="shared" si="2"/>
        <v>20109</v>
      </c>
    </row>
    <row r="52" spans="1:17" ht="12.75">
      <c r="A52" s="73">
        <v>40446</v>
      </c>
      <c r="B52" s="74">
        <v>20</v>
      </c>
      <c r="C52" s="99">
        <v>22.5</v>
      </c>
      <c r="D52" s="75">
        <f t="shared" si="1"/>
        <v>450</v>
      </c>
      <c r="E52" s="75">
        <v>236675</v>
      </c>
      <c r="F52" s="76">
        <f t="shared" si="7"/>
        <v>149</v>
      </c>
      <c r="G52" s="77">
        <f t="shared" si="3"/>
        <v>13.422818791946309</v>
      </c>
      <c r="H52" s="79">
        <f t="shared" si="4"/>
        <v>3.0201342281879193</v>
      </c>
      <c r="I52" s="78">
        <f t="shared" si="5"/>
        <v>9</v>
      </c>
      <c r="J52" s="78">
        <f t="shared" si="6"/>
        <v>16.555555555555557</v>
      </c>
      <c r="L52" s="55" t="s">
        <v>126</v>
      </c>
      <c r="M52" s="76">
        <f>SUMIF(Q$3:Q$1111,201012,F$3:F$1111)</f>
        <v>1828</v>
      </c>
      <c r="N52" s="154">
        <f>IF(M52&gt;0,SUMIF(Q$3:Q$1111,201012,B$3:B$1111)/M52*100,0)</f>
        <v>12.660229759299781</v>
      </c>
      <c r="Q52" t="str">
        <f t="shared" si="2"/>
        <v>20109</v>
      </c>
    </row>
    <row r="53" spans="1:17" ht="12.75">
      <c r="A53" s="73">
        <v>40455</v>
      </c>
      <c r="B53" s="74">
        <v>10</v>
      </c>
      <c r="C53" s="99">
        <v>0</v>
      </c>
      <c r="D53" s="153">
        <f t="shared" si="1"/>
        <v>0</v>
      </c>
      <c r="E53" s="75">
        <v>236824</v>
      </c>
      <c r="F53" s="76">
        <f t="shared" si="7"/>
        <v>92</v>
      </c>
      <c r="G53" s="77">
        <f t="shared" si="3"/>
        <v>10.869565217391305</v>
      </c>
      <c r="H53" s="79">
        <f t="shared" si="4"/>
        <v>0</v>
      </c>
      <c r="I53" s="78">
        <f t="shared" si="5"/>
        <v>5</v>
      </c>
      <c r="J53" s="78">
        <f t="shared" si="6"/>
        <v>18.4</v>
      </c>
      <c r="L53" s="55" t="s">
        <v>127</v>
      </c>
      <c r="M53" s="11">
        <f>SUMIF(Q$3:Q$1111,20111,F$3:F$1111)</f>
        <v>1581</v>
      </c>
      <c r="N53" s="56">
        <f>IF(M53&gt;0,SUMIF(Q$3:Q$1131,20111,B$3:B$1131)/M53*100,0)</f>
        <v>14.017710309930424</v>
      </c>
      <c r="Q53" t="str">
        <f t="shared" si="2"/>
        <v>201010</v>
      </c>
    </row>
    <row r="54" spans="1:17" ht="12.75">
      <c r="A54" s="73">
        <v>40460</v>
      </c>
      <c r="B54" s="74">
        <v>48.78</v>
      </c>
      <c r="C54" s="99">
        <v>20.5</v>
      </c>
      <c r="D54" s="75">
        <f t="shared" si="1"/>
        <v>999.99</v>
      </c>
      <c r="E54" s="75">
        <v>236916</v>
      </c>
      <c r="F54" s="76">
        <f t="shared" si="7"/>
        <v>366</v>
      </c>
      <c r="G54" s="77">
        <f t="shared" si="3"/>
        <v>13.327868852459016</v>
      </c>
      <c r="H54" s="79">
        <f t="shared" si="4"/>
        <v>2.7322131147540984</v>
      </c>
      <c r="I54" s="78">
        <f t="shared" si="5"/>
        <v>12</v>
      </c>
      <c r="J54" s="78">
        <f t="shared" si="6"/>
        <v>30.5</v>
      </c>
      <c r="L54" s="55" t="s">
        <v>128</v>
      </c>
      <c r="M54" s="11">
        <f>SUMIF(Q$3:Q$1111,20112,F$3:F$1111)</f>
        <v>1856</v>
      </c>
      <c r="N54" s="56">
        <f>IF(M54&gt;0,SUMIF(Q$3:Q$1111,20112,B$3:B$1111)/M54*100,0)</f>
        <v>12.60959051724138</v>
      </c>
      <c r="P54" s="16"/>
      <c r="Q54" t="str">
        <f t="shared" si="2"/>
        <v>201010</v>
      </c>
    </row>
    <row r="55" spans="1:17" ht="12.75">
      <c r="A55" s="73">
        <v>40472</v>
      </c>
      <c r="B55" s="74">
        <v>20</v>
      </c>
      <c r="C55" s="99">
        <v>20.5</v>
      </c>
      <c r="D55" s="75">
        <f t="shared" si="1"/>
        <v>410</v>
      </c>
      <c r="E55" s="75">
        <v>237282</v>
      </c>
      <c r="F55" s="76">
        <f t="shared" si="7"/>
        <v>145</v>
      </c>
      <c r="G55" s="77">
        <f t="shared" si="3"/>
        <v>13.793103448275861</v>
      </c>
      <c r="H55" s="79">
        <f t="shared" si="4"/>
        <v>2.8275862068965516</v>
      </c>
      <c r="I55" s="78">
        <f t="shared" si="5"/>
        <v>6</v>
      </c>
      <c r="J55" s="78">
        <f t="shared" si="6"/>
        <v>24.166666666666668</v>
      </c>
      <c r="L55" s="55" t="s">
        <v>116</v>
      </c>
      <c r="M55" s="11">
        <f>SUMIF(Q$3:Q$1111,20113,F$3:F$1111)</f>
        <v>372</v>
      </c>
      <c r="N55" s="56">
        <f>IF(M55&gt;0,SUMIF(Q$3:Q$1111,20113,B$3:B$1111)/M55*100,0)</f>
        <v>13.112903225806452</v>
      </c>
      <c r="Q55" t="str">
        <f t="shared" si="2"/>
        <v>201010</v>
      </c>
    </row>
    <row r="56" spans="1:17" ht="12.75">
      <c r="A56" s="73">
        <v>40478</v>
      </c>
      <c r="B56" s="74">
        <v>30</v>
      </c>
      <c r="C56" s="99">
        <v>20.5</v>
      </c>
      <c r="D56" s="75">
        <f t="shared" si="1"/>
        <v>615</v>
      </c>
      <c r="E56" s="75">
        <v>237427</v>
      </c>
      <c r="F56" s="76">
        <f t="shared" si="7"/>
        <v>209</v>
      </c>
      <c r="G56" s="77">
        <f t="shared" si="3"/>
        <v>14.354066985645932</v>
      </c>
      <c r="H56" s="79">
        <f t="shared" si="4"/>
        <v>2.9425837320574164</v>
      </c>
      <c r="I56" s="78">
        <f t="shared" si="5"/>
        <v>6</v>
      </c>
      <c r="J56" s="78">
        <f t="shared" si="6"/>
        <v>34.833333333333336</v>
      </c>
      <c r="L56" s="55" t="s">
        <v>117</v>
      </c>
      <c r="M56" s="11">
        <f>SUMIF(Q$3:Q$1111,20114,F$3:F$1111)</f>
        <v>0</v>
      </c>
      <c r="N56" s="56">
        <f>IF(M56&gt;0,SUMIF(Q$3:Q$1111,20114,B$3:B$1111)/M56*100,0)</f>
        <v>0</v>
      </c>
      <c r="Q56" t="str">
        <f t="shared" si="2"/>
        <v>201010</v>
      </c>
    </row>
    <row r="57" spans="1:17" ht="12.75">
      <c r="A57" s="73">
        <v>40484</v>
      </c>
      <c r="B57" s="74">
        <v>40</v>
      </c>
      <c r="C57" s="99">
        <v>21</v>
      </c>
      <c r="D57" s="75">
        <f t="shared" si="1"/>
        <v>840</v>
      </c>
      <c r="E57" s="75">
        <v>237636</v>
      </c>
      <c r="F57" s="76">
        <f t="shared" si="7"/>
        <v>329</v>
      </c>
      <c r="G57" s="77">
        <f t="shared" si="3"/>
        <v>12.158054711246201</v>
      </c>
      <c r="H57" s="79">
        <f t="shared" si="4"/>
        <v>2.5531914893617023</v>
      </c>
      <c r="I57" s="78">
        <f t="shared" si="5"/>
        <v>6</v>
      </c>
      <c r="J57" s="78">
        <f t="shared" si="6"/>
        <v>54.833333333333336</v>
      </c>
      <c r="L57" s="55" t="s">
        <v>11</v>
      </c>
      <c r="M57" s="11">
        <f>SUMIF(Q$3:Q$1111,20115,F$3:F$1111)</f>
        <v>0</v>
      </c>
      <c r="N57" s="56">
        <f>IF(M57&gt;0,SUMIF(Q$3:Q$1111,20115,B$3:B$1111)/M57*100,0)</f>
        <v>0</v>
      </c>
      <c r="Q57" t="str">
        <f t="shared" si="2"/>
        <v>201011</v>
      </c>
    </row>
    <row r="58" spans="1:17" s="19" customFormat="1" ht="12.75">
      <c r="A58" s="73">
        <v>40490</v>
      </c>
      <c r="B58" s="74">
        <v>20</v>
      </c>
      <c r="C58" s="99">
        <v>21</v>
      </c>
      <c r="D58" s="75">
        <f t="shared" si="1"/>
        <v>420</v>
      </c>
      <c r="E58" s="75">
        <v>237965</v>
      </c>
      <c r="F58" s="76">
        <f aca="true" t="shared" si="8" ref="F58:F63">IF(E59&gt;0,E59-E58,0)</f>
        <v>138</v>
      </c>
      <c r="G58" s="77">
        <f aca="true" t="shared" si="9" ref="G58:G63">IF(F58&gt;0,B58/F58*100,0)</f>
        <v>14.492753623188406</v>
      </c>
      <c r="H58" s="79">
        <f aca="true" t="shared" si="10" ref="H58:H63">IF(F58&gt;0,D58/F58,0)</f>
        <v>3.0434782608695654</v>
      </c>
      <c r="I58" s="78">
        <f aca="true" t="shared" si="11" ref="I58:I63">IF(F58&gt;0,A59-A58,0)</f>
        <v>4</v>
      </c>
      <c r="J58" s="78">
        <f aca="true" t="shared" si="12" ref="J58:J63">IF(F58&gt;0,F58/I58,0)</f>
        <v>34.5</v>
      </c>
      <c r="L58" s="55" t="s">
        <v>120</v>
      </c>
      <c r="M58" s="11">
        <f>SUMIF(Q$3:Q$1111,20116,F$3:F$1111)</f>
        <v>0</v>
      </c>
      <c r="N58" s="56">
        <f>IF(M58&gt;0,SUMIF(Q$3:Q$1111,20116,B$3:B$1111)/M58*100,0)</f>
        <v>0</v>
      </c>
      <c r="Q58" t="str">
        <f t="shared" si="2"/>
        <v>201011</v>
      </c>
    </row>
    <row r="59" spans="1:17" ht="12.75">
      <c r="A59" s="73">
        <v>40494</v>
      </c>
      <c r="B59" s="74">
        <v>9.524</v>
      </c>
      <c r="C59" s="99">
        <v>21</v>
      </c>
      <c r="D59" s="75">
        <f t="shared" si="1"/>
        <v>200.004</v>
      </c>
      <c r="E59" s="75">
        <v>238103</v>
      </c>
      <c r="F59" s="76">
        <f t="shared" si="8"/>
        <v>45</v>
      </c>
      <c r="G59" s="77">
        <f t="shared" si="9"/>
        <v>21.16444444444444</v>
      </c>
      <c r="H59" s="79">
        <f t="shared" si="10"/>
        <v>4.444533333333333</v>
      </c>
      <c r="I59" s="78">
        <f t="shared" si="11"/>
        <v>2</v>
      </c>
      <c r="J59" s="78">
        <f t="shared" si="12"/>
        <v>22.5</v>
      </c>
      <c r="L59" s="55" t="s">
        <v>121</v>
      </c>
      <c r="M59" s="11">
        <f>SUMIF(Q$3:Q$1111,20117,F$3:F$1111)</f>
        <v>0</v>
      </c>
      <c r="N59" s="56">
        <f>IF(M59&gt;0,SUMIF(Q$3:Q$1111,20117,B$3:B$1111)/M59*100,0)</f>
        <v>0</v>
      </c>
      <c r="Q59" t="str">
        <f t="shared" si="2"/>
        <v>201011</v>
      </c>
    </row>
    <row r="60" spans="1:17" ht="12.75">
      <c r="A60" s="73">
        <v>40496</v>
      </c>
      <c r="B60" s="74">
        <v>40</v>
      </c>
      <c r="C60" s="99">
        <v>21</v>
      </c>
      <c r="D60" s="75">
        <f t="shared" si="1"/>
        <v>840</v>
      </c>
      <c r="E60" s="75">
        <v>238148</v>
      </c>
      <c r="F60" s="76">
        <f t="shared" si="8"/>
        <v>355</v>
      </c>
      <c r="G60" s="77">
        <f t="shared" si="9"/>
        <v>11.267605633802818</v>
      </c>
      <c r="H60" s="79">
        <f t="shared" si="10"/>
        <v>2.3661971830985915</v>
      </c>
      <c r="I60" s="78">
        <f t="shared" si="11"/>
        <v>6</v>
      </c>
      <c r="J60" s="78">
        <f t="shared" si="12"/>
        <v>59.166666666666664</v>
      </c>
      <c r="L60" s="55" t="s">
        <v>122</v>
      </c>
      <c r="M60" s="11">
        <f>SUMIF(Q$3:Q$1111,20118,F$3:F$1111)</f>
        <v>0</v>
      </c>
      <c r="N60" s="56">
        <f>IF(M60&gt;0,SUMIF(Q$3:Q$1111,20118,B$3:B$1111)/M60*100,0)</f>
        <v>0</v>
      </c>
      <c r="Q60" t="str">
        <f t="shared" si="2"/>
        <v>201011</v>
      </c>
    </row>
    <row r="61" spans="1:17" ht="12.75">
      <c r="A61" s="73">
        <v>40502</v>
      </c>
      <c r="B61" s="74">
        <v>46.19</v>
      </c>
      <c r="C61" s="99">
        <v>0</v>
      </c>
      <c r="D61" s="153">
        <f t="shared" si="1"/>
        <v>0</v>
      </c>
      <c r="E61" s="75">
        <v>238503</v>
      </c>
      <c r="F61" s="76">
        <f t="shared" si="8"/>
        <v>292</v>
      </c>
      <c r="G61" s="77">
        <f t="shared" si="9"/>
        <v>15.818493150684931</v>
      </c>
      <c r="H61" s="79">
        <f t="shared" si="10"/>
        <v>0</v>
      </c>
      <c r="I61" s="78">
        <f t="shared" si="11"/>
        <v>6</v>
      </c>
      <c r="J61" s="78">
        <f t="shared" si="12"/>
        <v>48.666666666666664</v>
      </c>
      <c r="L61" s="55" t="s">
        <v>123</v>
      </c>
      <c r="M61" s="11">
        <f>SUMIF(Q$3:Q$1111,20119,F$3:F$1111)</f>
        <v>0</v>
      </c>
      <c r="N61" s="56">
        <f>IF(M61&gt;0,SUMIF(Q$3:Q$1111,20119,B$3:B$1111)/M61*100,0)</f>
        <v>0</v>
      </c>
      <c r="Q61" t="str">
        <f t="shared" si="2"/>
        <v>201011</v>
      </c>
    </row>
    <row r="62" spans="1:17" ht="12.75">
      <c r="A62" s="73">
        <v>40508</v>
      </c>
      <c r="B62" s="74">
        <v>20</v>
      </c>
      <c r="C62" s="99">
        <v>21</v>
      </c>
      <c r="D62" s="75">
        <f t="shared" si="1"/>
        <v>420</v>
      </c>
      <c r="E62" s="75">
        <v>238795</v>
      </c>
      <c r="F62" s="76">
        <f t="shared" si="8"/>
        <v>100</v>
      </c>
      <c r="G62" s="77">
        <f t="shared" si="9"/>
        <v>20</v>
      </c>
      <c r="H62" s="79">
        <f t="shared" si="10"/>
        <v>4.2</v>
      </c>
      <c r="I62" s="78">
        <f t="shared" si="11"/>
        <v>5</v>
      </c>
      <c r="J62" s="78">
        <f t="shared" si="12"/>
        <v>20</v>
      </c>
      <c r="L62" s="55" t="s">
        <v>124</v>
      </c>
      <c r="M62" s="11">
        <f>SUMIF(Q$3:Q$1111,201110,F$3:F$1111)</f>
        <v>0</v>
      </c>
      <c r="N62" s="56">
        <f>IF(M62&gt;0,SUMIF(Q$3:Q$1111,201110,B$3:B$1111)/M62*100,0)</f>
        <v>0</v>
      </c>
      <c r="Q62" t="str">
        <f t="shared" si="2"/>
        <v>201011</v>
      </c>
    </row>
    <row r="63" spans="1:17" ht="12.75">
      <c r="A63" s="73">
        <v>40513</v>
      </c>
      <c r="B63" s="74">
        <v>10</v>
      </c>
      <c r="C63" s="99">
        <v>21.95</v>
      </c>
      <c r="D63" s="75">
        <f t="shared" si="1"/>
        <v>219.5</v>
      </c>
      <c r="E63" s="75">
        <v>238895</v>
      </c>
      <c r="F63" s="76">
        <f t="shared" si="8"/>
        <v>58</v>
      </c>
      <c r="G63" s="77">
        <f t="shared" si="9"/>
        <v>17.24137931034483</v>
      </c>
      <c r="H63" s="79">
        <f t="shared" si="10"/>
        <v>3.7844827586206895</v>
      </c>
      <c r="I63" s="78">
        <f t="shared" si="11"/>
        <v>2</v>
      </c>
      <c r="J63" s="78">
        <f t="shared" si="12"/>
        <v>29</v>
      </c>
      <c r="L63" s="55" t="s">
        <v>125</v>
      </c>
      <c r="M63" s="11">
        <f>SUMIF(Q$3:Q$1111,201111,F$3:F$1111)</f>
        <v>0</v>
      </c>
      <c r="N63" s="56">
        <f>IF(M63&gt;0,SUMIF(Q$3:Q$1111,201111,B$3:B$1111)/M63*100,0)</f>
        <v>0</v>
      </c>
      <c r="Q63" t="str">
        <f t="shared" si="2"/>
        <v>201012</v>
      </c>
    </row>
    <row r="64" spans="1:17" ht="12.75">
      <c r="A64" s="73">
        <v>40515</v>
      </c>
      <c r="B64" s="74">
        <v>40</v>
      </c>
      <c r="C64" s="99">
        <v>21</v>
      </c>
      <c r="D64" s="75">
        <f t="shared" si="1"/>
        <v>840</v>
      </c>
      <c r="E64" s="75">
        <v>238953</v>
      </c>
      <c r="F64" s="76">
        <f>IF(E65&gt;0,E65-E64,0)</f>
        <v>249</v>
      </c>
      <c r="G64" s="77">
        <f>IF(F64&gt;0,B64/F64*100,0)</f>
        <v>16.06425702811245</v>
      </c>
      <c r="H64" s="79">
        <f>IF(F64&gt;0,D64/F64,0)</f>
        <v>3.3734939759036147</v>
      </c>
      <c r="I64" s="78">
        <f>IF(F64&gt;0,A65-A64,0)</f>
        <v>7</v>
      </c>
      <c r="J64" s="78">
        <f>IF(F64&gt;0,F64/I64,0)</f>
        <v>35.57142857142857</v>
      </c>
      <c r="L64" s="55" t="s">
        <v>126</v>
      </c>
      <c r="M64" s="11">
        <f>SUMIF(Q$3:Q$1111,201112,F$3:F$1111)</f>
        <v>0</v>
      </c>
      <c r="N64" s="56">
        <f>IF(M64&gt;0,SUMIF(Q$3:Q$1111,201112,B$3:B$1111)/M64*100,0)</f>
        <v>0</v>
      </c>
      <c r="Q64" t="str">
        <f t="shared" si="2"/>
        <v>201012</v>
      </c>
    </row>
    <row r="65" spans="1:17" ht="12.75">
      <c r="A65" s="73">
        <v>40522</v>
      </c>
      <c r="B65" s="74">
        <v>47.619</v>
      </c>
      <c r="C65" s="99">
        <v>0</v>
      </c>
      <c r="D65" s="75">
        <f t="shared" si="1"/>
        <v>0</v>
      </c>
      <c r="E65" s="75">
        <v>239202</v>
      </c>
      <c r="F65" s="76">
        <f>IF(E66&gt;0,E66-E65,0)</f>
        <v>473</v>
      </c>
      <c r="G65" s="77">
        <f>IF(F65&gt;0,B65/F65*100,0)</f>
        <v>10.067441860465117</v>
      </c>
      <c r="H65" s="79">
        <f>IF(F65&gt;0,D65/F65,0)</f>
        <v>0</v>
      </c>
      <c r="I65" s="78">
        <f>IF(F65&gt;0,A66-A65,0)</f>
        <v>3</v>
      </c>
      <c r="J65" s="78">
        <f>IF(F65&gt;0,F65/I65,0)</f>
        <v>157.66666666666666</v>
      </c>
      <c r="Q65" t="str">
        <f t="shared" si="2"/>
        <v>201012</v>
      </c>
    </row>
    <row r="66" spans="1:17" ht="12.75">
      <c r="A66" s="73">
        <v>40525</v>
      </c>
      <c r="B66" s="74">
        <v>40</v>
      </c>
      <c r="C66" s="99">
        <v>0</v>
      </c>
      <c r="D66" s="75">
        <f t="shared" si="1"/>
        <v>0</v>
      </c>
      <c r="E66" s="75">
        <v>239675</v>
      </c>
      <c r="F66" s="76">
        <f>IF(E67&gt;0,E67-E66,0)</f>
        <v>451</v>
      </c>
      <c r="G66" s="77">
        <f>IF(F66&gt;0,B66/F66*100,0)</f>
        <v>8.869179600886918</v>
      </c>
      <c r="H66" s="79">
        <f>IF(F66&gt;0,D66/F66,0)</f>
        <v>0</v>
      </c>
      <c r="I66" s="78">
        <f>IF(F66&gt;0,A67-A66,0)</f>
        <v>1</v>
      </c>
      <c r="J66" s="78">
        <f>IF(F66&gt;0,F66/I66,0)</f>
        <v>451</v>
      </c>
      <c r="Q66" t="str">
        <f t="shared" si="2"/>
        <v>201012</v>
      </c>
    </row>
    <row r="67" spans="1:17" ht="12.75">
      <c r="A67" s="73">
        <v>40526</v>
      </c>
      <c r="B67" s="74">
        <v>30</v>
      </c>
      <c r="C67" s="99">
        <v>0</v>
      </c>
      <c r="D67" s="75">
        <f t="shared" si="1"/>
        <v>0</v>
      </c>
      <c r="E67" s="75">
        <v>240126</v>
      </c>
      <c r="F67" s="76">
        <f aca="true" t="shared" si="13" ref="F67:F90">IF(E68&gt;0,E68-E67,0)</f>
        <v>213</v>
      </c>
      <c r="G67" s="77">
        <f aca="true" t="shared" si="14" ref="G67:G89">IF(F67&gt;0,B67/F67*100,0)</f>
        <v>14.084507042253522</v>
      </c>
      <c r="H67" s="79">
        <f aca="true" t="shared" si="15" ref="H67:H89">IF(F67&gt;0,D67/F67,0)</f>
        <v>0</v>
      </c>
      <c r="I67" s="78">
        <f aca="true" t="shared" si="16" ref="I67:I92">IF(F67&gt;0,A68-A67,0)</f>
        <v>5</v>
      </c>
      <c r="J67" s="78">
        <f aca="true" t="shared" si="17" ref="J67:J91">IF(F67&gt;0,F67/I67,0)</f>
        <v>42.6</v>
      </c>
      <c r="Q67" t="str">
        <f t="shared" si="2"/>
        <v>201012</v>
      </c>
    </row>
    <row r="68" spans="1:17" ht="12.75">
      <c r="A68" s="73">
        <v>40531</v>
      </c>
      <c r="B68" s="74">
        <v>40</v>
      </c>
      <c r="C68" s="99">
        <v>21</v>
      </c>
      <c r="D68" s="75">
        <f t="shared" si="1"/>
        <v>840</v>
      </c>
      <c r="E68" s="75">
        <v>240339</v>
      </c>
      <c r="F68" s="76">
        <f t="shared" si="13"/>
        <v>233</v>
      </c>
      <c r="G68" s="77">
        <f t="shared" si="14"/>
        <v>17.167381974248926</v>
      </c>
      <c r="H68" s="79">
        <f t="shared" si="15"/>
        <v>3.6051502145922747</v>
      </c>
      <c r="I68" s="78">
        <f t="shared" si="16"/>
        <v>7</v>
      </c>
      <c r="J68" s="78">
        <f t="shared" si="17"/>
        <v>33.285714285714285</v>
      </c>
      <c r="Q68" t="str">
        <f t="shared" si="2"/>
        <v>201012</v>
      </c>
    </row>
    <row r="69" spans="1:17" ht="12.75">
      <c r="A69" s="73">
        <v>40538</v>
      </c>
      <c r="B69" s="74">
        <v>23.81</v>
      </c>
      <c r="C69" s="99"/>
      <c r="D69" s="75">
        <f t="shared" si="1"/>
        <v>0</v>
      </c>
      <c r="E69" s="75">
        <v>240572</v>
      </c>
      <c r="F69" s="76">
        <f t="shared" si="13"/>
        <v>151</v>
      </c>
      <c r="G69" s="77">
        <f t="shared" si="14"/>
        <v>15.7682119205298</v>
      </c>
      <c r="H69" s="79">
        <f t="shared" si="15"/>
        <v>0</v>
      </c>
      <c r="I69" s="78">
        <f t="shared" si="16"/>
        <v>7</v>
      </c>
      <c r="J69" s="78">
        <f t="shared" si="17"/>
        <v>21.571428571428573</v>
      </c>
      <c r="Q69" t="str">
        <f t="shared" si="2"/>
        <v>201012</v>
      </c>
    </row>
    <row r="70" spans="1:17" ht="12.75">
      <c r="A70" s="73">
        <v>40545</v>
      </c>
      <c r="B70" s="74">
        <v>40</v>
      </c>
      <c r="C70" s="99">
        <v>21</v>
      </c>
      <c r="D70" s="75">
        <f t="shared" si="1"/>
        <v>840</v>
      </c>
      <c r="E70" s="75">
        <v>240723</v>
      </c>
      <c r="F70" s="76">
        <f t="shared" si="13"/>
        <v>125</v>
      </c>
      <c r="G70" s="77">
        <f t="shared" si="14"/>
        <v>32</v>
      </c>
      <c r="H70" s="79">
        <f t="shared" si="15"/>
        <v>6.72</v>
      </c>
      <c r="I70" s="78">
        <f t="shared" si="16"/>
        <v>7</v>
      </c>
      <c r="J70" s="78">
        <f t="shared" si="17"/>
        <v>17.857142857142858</v>
      </c>
      <c r="O70" s="16">
        <f>SUM(M28:M28)</f>
        <v>0</v>
      </c>
      <c r="Q70" t="str">
        <f t="shared" si="2"/>
        <v>20111</v>
      </c>
    </row>
    <row r="71" spans="1:17" ht="12.75">
      <c r="A71" s="73">
        <v>40552</v>
      </c>
      <c r="B71" s="74">
        <v>35</v>
      </c>
      <c r="C71" s="99">
        <v>21</v>
      </c>
      <c r="D71" s="75">
        <f t="shared" si="1"/>
        <v>735</v>
      </c>
      <c r="E71" s="75">
        <v>240848</v>
      </c>
      <c r="F71" s="76">
        <f t="shared" si="13"/>
        <v>398</v>
      </c>
      <c r="G71" s="77">
        <f t="shared" si="14"/>
        <v>8.793969849246231</v>
      </c>
      <c r="H71" s="79">
        <f t="shared" si="15"/>
        <v>1.8467336683417086</v>
      </c>
      <c r="I71" s="78">
        <f t="shared" si="16"/>
        <v>1</v>
      </c>
      <c r="J71" s="78">
        <f t="shared" si="17"/>
        <v>398</v>
      </c>
      <c r="Q71" t="str">
        <f aca="true" t="shared" si="18" ref="Q71:Q148">IF(F71=0,0,CONCATENATE(TEXT(YEAR(A71),0),TEXT(MONTH(A71),0)))</f>
        <v>20111</v>
      </c>
    </row>
    <row r="72" spans="1:17" ht="12.75">
      <c r="A72" s="73">
        <v>40553</v>
      </c>
      <c r="B72" s="74">
        <v>40</v>
      </c>
      <c r="C72" s="99">
        <v>21</v>
      </c>
      <c r="D72" s="75">
        <f t="shared" si="1"/>
        <v>840</v>
      </c>
      <c r="E72" s="75">
        <v>241246</v>
      </c>
      <c r="F72" s="76">
        <f t="shared" si="13"/>
        <v>210</v>
      </c>
      <c r="G72" s="77">
        <f t="shared" si="14"/>
        <v>19.047619047619047</v>
      </c>
      <c r="H72" s="79">
        <f t="shared" si="15"/>
        <v>4</v>
      </c>
      <c r="I72" s="78">
        <f t="shared" si="16"/>
        <v>7</v>
      </c>
      <c r="J72" s="78">
        <f t="shared" si="17"/>
        <v>30</v>
      </c>
      <c r="Q72" t="str">
        <f t="shared" si="18"/>
        <v>20111</v>
      </c>
    </row>
    <row r="73" spans="1:17" ht="12.75">
      <c r="A73" s="73">
        <v>40560</v>
      </c>
      <c r="B73" s="74">
        <v>30</v>
      </c>
      <c r="C73" s="99">
        <v>21</v>
      </c>
      <c r="D73" s="75">
        <f>B73*C73</f>
        <v>630</v>
      </c>
      <c r="E73" s="75">
        <v>241456</v>
      </c>
      <c r="F73" s="76">
        <f t="shared" si="13"/>
        <v>208</v>
      </c>
      <c r="G73" s="77">
        <f t="shared" si="14"/>
        <v>14.423076923076922</v>
      </c>
      <c r="H73" s="79">
        <f t="shared" si="15"/>
        <v>3.0288461538461537</v>
      </c>
      <c r="I73" s="78">
        <f t="shared" si="16"/>
        <v>5</v>
      </c>
      <c r="J73" s="78">
        <f t="shared" si="17"/>
        <v>41.6</v>
      </c>
      <c r="Q73" t="str">
        <f>IF(F73=0,0,CONCATENATE(TEXT(YEAR(A73),0),TEXT(MONTH(A73),0)))</f>
        <v>20111</v>
      </c>
    </row>
    <row r="74" spans="1:17" ht="12.75">
      <c r="A74" s="73">
        <v>40565</v>
      </c>
      <c r="B74" s="74">
        <v>30</v>
      </c>
      <c r="C74" s="99">
        <v>22.1</v>
      </c>
      <c r="D74" s="75">
        <f t="shared" si="1"/>
        <v>663</v>
      </c>
      <c r="E74" s="75">
        <v>241664</v>
      </c>
      <c r="F74" s="76">
        <f t="shared" si="13"/>
        <v>282</v>
      </c>
      <c r="G74" s="77">
        <f t="shared" si="14"/>
        <v>10.638297872340425</v>
      </c>
      <c r="H74" s="79">
        <f t="shared" si="15"/>
        <v>2.351063829787234</v>
      </c>
      <c r="I74" s="78">
        <f t="shared" si="16"/>
        <v>5</v>
      </c>
      <c r="J74" s="78">
        <f t="shared" si="17"/>
        <v>56.4</v>
      </c>
      <c r="Q74" t="str">
        <f t="shared" si="18"/>
        <v>20111</v>
      </c>
    </row>
    <row r="75" spans="1:17" ht="12.75">
      <c r="A75" s="73">
        <v>40570</v>
      </c>
      <c r="B75" s="74">
        <v>46.62</v>
      </c>
      <c r="C75" s="99">
        <v>21.45</v>
      </c>
      <c r="D75" s="75">
        <f>B75*C75</f>
        <v>999.9989999999999</v>
      </c>
      <c r="E75" s="75">
        <v>241946</v>
      </c>
      <c r="F75" s="76">
        <f t="shared" si="13"/>
        <v>358</v>
      </c>
      <c r="G75" s="77">
        <f t="shared" si="14"/>
        <v>13.022346368715082</v>
      </c>
      <c r="H75" s="79">
        <f t="shared" si="15"/>
        <v>2.7932932960893853</v>
      </c>
      <c r="I75" s="78">
        <f t="shared" si="16"/>
        <v>5</v>
      </c>
      <c r="J75" s="78">
        <f t="shared" si="17"/>
        <v>71.6</v>
      </c>
      <c r="Q75" t="str">
        <f>IF(F75=0,0,CONCATENATE(TEXT(YEAR(A75),0),TEXT(MONTH(A75),0)))</f>
        <v>20111</v>
      </c>
    </row>
    <row r="76" spans="1:17" ht="12.75">
      <c r="A76" s="73">
        <v>40575</v>
      </c>
      <c r="B76" s="74">
        <v>46.62</v>
      </c>
      <c r="C76" s="99">
        <v>21.45</v>
      </c>
      <c r="D76" s="75">
        <f t="shared" si="1"/>
        <v>999.9989999999999</v>
      </c>
      <c r="E76" s="75">
        <v>242304</v>
      </c>
      <c r="F76" s="76">
        <f t="shared" si="13"/>
        <v>398</v>
      </c>
      <c r="G76" s="77">
        <f t="shared" si="14"/>
        <v>11.71356783919598</v>
      </c>
      <c r="H76" s="79">
        <f t="shared" si="15"/>
        <v>2.5125603015075373</v>
      </c>
      <c r="I76" s="78">
        <f t="shared" si="16"/>
        <v>6</v>
      </c>
      <c r="J76" s="78">
        <f t="shared" si="17"/>
        <v>66.33333333333333</v>
      </c>
      <c r="Q76" t="str">
        <f t="shared" si="18"/>
        <v>20112</v>
      </c>
    </row>
    <row r="77" spans="1:17" ht="12.75">
      <c r="A77" s="73">
        <v>40581</v>
      </c>
      <c r="B77" s="74">
        <v>46.62</v>
      </c>
      <c r="C77" s="99">
        <v>21.45</v>
      </c>
      <c r="D77" s="75">
        <f t="shared" si="1"/>
        <v>999.9989999999999</v>
      </c>
      <c r="E77" s="75">
        <v>242702</v>
      </c>
      <c r="F77" s="76">
        <f t="shared" si="13"/>
        <v>211</v>
      </c>
      <c r="G77" s="77">
        <f t="shared" si="14"/>
        <v>22.09478672985782</v>
      </c>
      <c r="H77" s="79">
        <f t="shared" si="15"/>
        <v>4.739331753554502</v>
      </c>
      <c r="I77" s="78">
        <f t="shared" si="16"/>
        <v>4</v>
      </c>
      <c r="J77" s="78">
        <f t="shared" si="17"/>
        <v>52.75</v>
      </c>
      <c r="Q77" t="str">
        <f t="shared" si="18"/>
        <v>20112</v>
      </c>
    </row>
    <row r="78" spans="1:17" ht="12.75">
      <c r="A78" s="73">
        <v>40585</v>
      </c>
      <c r="B78" s="74">
        <v>30</v>
      </c>
      <c r="C78" s="99">
        <v>21.55</v>
      </c>
      <c r="D78" s="75">
        <f t="shared" si="1"/>
        <v>646.5</v>
      </c>
      <c r="E78" s="75">
        <v>242913</v>
      </c>
      <c r="F78" s="76">
        <f t="shared" si="13"/>
        <v>468</v>
      </c>
      <c r="G78" s="77">
        <f t="shared" si="14"/>
        <v>6.41025641025641</v>
      </c>
      <c r="H78" s="79">
        <f t="shared" si="15"/>
        <v>1.3814102564102564</v>
      </c>
      <c r="I78" s="78">
        <f t="shared" si="16"/>
        <v>4</v>
      </c>
      <c r="J78" s="78">
        <f t="shared" si="17"/>
        <v>117</v>
      </c>
      <c r="Q78" t="str">
        <f t="shared" si="18"/>
        <v>20112</v>
      </c>
    </row>
    <row r="79" spans="1:17" ht="12.75">
      <c r="A79" s="73">
        <v>40589</v>
      </c>
      <c r="B79" s="74">
        <v>46.404</v>
      </c>
      <c r="C79" s="99">
        <v>21.55</v>
      </c>
      <c r="D79" s="75">
        <f t="shared" si="1"/>
        <v>1000.0062000000001</v>
      </c>
      <c r="E79" s="75">
        <v>243381</v>
      </c>
      <c r="F79" s="76">
        <f t="shared" si="13"/>
        <v>330</v>
      </c>
      <c r="G79" s="77">
        <f t="shared" si="14"/>
        <v>14.061818181818184</v>
      </c>
      <c r="H79" s="79">
        <f t="shared" si="15"/>
        <v>3.0303218181818186</v>
      </c>
      <c r="I79" s="78">
        <f t="shared" si="16"/>
        <v>6</v>
      </c>
      <c r="J79" s="78">
        <f t="shared" si="17"/>
        <v>55</v>
      </c>
      <c r="Q79" t="str">
        <f t="shared" si="18"/>
        <v>20112</v>
      </c>
    </row>
    <row r="80" spans="1:17" ht="12.75">
      <c r="A80" s="73">
        <v>40595</v>
      </c>
      <c r="B80" s="74">
        <v>40</v>
      </c>
      <c r="C80" s="99">
        <v>20.5</v>
      </c>
      <c r="D80" s="75">
        <f t="shared" si="1"/>
        <v>820</v>
      </c>
      <c r="E80" s="75">
        <v>243711</v>
      </c>
      <c r="F80" s="76">
        <f t="shared" si="13"/>
        <v>266</v>
      </c>
      <c r="G80" s="77">
        <f t="shared" si="14"/>
        <v>15.037593984962406</v>
      </c>
      <c r="H80" s="79">
        <f t="shared" si="15"/>
        <v>3.082706766917293</v>
      </c>
      <c r="I80" s="78">
        <f t="shared" si="16"/>
        <v>6</v>
      </c>
      <c r="J80" s="78">
        <f t="shared" si="17"/>
        <v>44.333333333333336</v>
      </c>
      <c r="Q80" t="str">
        <f t="shared" si="18"/>
        <v>20112</v>
      </c>
    </row>
    <row r="81" spans="1:17" ht="12.75">
      <c r="A81" s="73">
        <v>40601</v>
      </c>
      <c r="B81" s="74">
        <v>24.39</v>
      </c>
      <c r="C81" s="99">
        <v>20.5</v>
      </c>
      <c r="D81" s="75">
        <f t="shared" si="1"/>
        <v>499.995</v>
      </c>
      <c r="E81" s="75">
        <v>243977</v>
      </c>
      <c r="F81" s="76">
        <f t="shared" si="13"/>
        <v>183</v>
      </c>
      <c r="G81" s="77">
        <f t="shared" si="14"/>
        <v>13.327868852459016</v>
      </c>
      <c r="H81" s="79">
        <f t="shared" si="15"/>
        <v>2.7322131147540984</v>
      </c>
      <c r="I81" s="78">
        <f t="shared" si="16"/>
        <v>2</v>
      </c>
      <c r="J81" s="78">
        <f t="shared" si="17"/>
        <v>91.5</v>
      </c>
      <c r="Q81" t="str">
        <f t="shared" si="18"/>
        <v>20112</v>
      </c>
    </row>
    <row r="82" spans="1:17" ht="12.75">
      <c r="A82" s="73">
        <v>40603</v>
      </c>
      <c r="B82" s="74">
        <v>48.78</v>
      </c>
      <c r="C82" s="99">
        <v>20.5</v>
      </c>
      <c r="D82" s="75">
        <f t="shared" si="1"/>
        <v>999.99</v>
      </c>
      <c r="E82" s="75">
        <v>244160</v>
      </c>
      <c r="F82" s="76">
        <f t="shared" si="13"/>
        <v>372</v>
      </c>
      <c r="G82" s="77">
        <f t="shared" si="14"/>
        <v>13.112903225806452</v>
      </c>
      <c r="H82" s="79">
        <f t="shared" si="15"/>
        <v>2.6881451612903224</v>
      </c>
      <c r="I82" s="78">
        <f t="shared" si="16"/>
        <v>7</v>
      </c>
      <c r="J82" s="78">
        <f t="shared" si="17"/>
        <v>53.142857142857146</v>
      </c>
      <c r="Q82" t="str">
        <f t="shared" si="18"/>
        <v>20113</v>
      </c>
    </row>
    <row r="83" spans="1:17" ht="12.75">
      <c r="A83" s="73">
        <v>40610</v>
      </c>
      <c r="B83" s="74">
        <v>45</v>
      </c>
      <c r="C83" s="99">
        <v>20.5</v>
      </c>
      <c r="D83" s="75">
        <f t="shared" si="1"/>
        <v>922.5</v>
      </c>
      <c r="E83" s="75">
        <v>244532</v>
      </c>
      <c r="F83" s="76">
        <f t="shared" si="13"/>
        <v>0</v>
      </c>
      <c r="G83" s="77">
        <f t="shared" si="14"/>
        <v>0</v>
      </c>
      <c r="H83" s="79">
        <f t="shared" si="15"/>
        <v>0</v>
      </c>
      <c r="I83" s="78">
        <f t="shared" si="16"/>
        <v>0</v>
      </c>
      <c r="J83" s="78">
        <f t="shared" si="17"/>
        <v>0</v>
      </c>
      <c r="Q83">
        <f t="shared" si="18"/>
        <v>0</v>
      </c>
    </row>
    <row r="84" spans="1:17" ht="12.75">
      <c r="A84" s="73">
        <v>40095</v>
      </c>
      <c r="B84" s="74">
        <v>0</v>
      </c>
      <c r="C84" s="99">
        <v>0</v>
      </c>
      <c r="D84" s="75">
        <f t="shared" si="1"/>
        <v>0</v>
      </c>
      <c r="E84" s="75">
        <v>0</v>
      </c>
      <c r="F84" s="76">
        <f t="shared" si="13"/>
        <v>0</v>
      </c>
      <c r="G84" s="77">
        <f t="shared" si="14"/>
        <v>0</v>
      </c>
      <c r="H84" s="79">
        <f t="shared" si="15"/>
        <v>0</v>
      </c>
      <c r="I84" s="78">
        <f t="shared" si="16"/>
        <v>0</v>
      </c>
      <c r="J84" s="78">
        <f t="shared" si="17"/>
        <v>0</v>
      </c>
      <c r="O84" s="16">
        <f>SUM(M29:M40)</f>
        <v>0</v>
      </c>
      <c r="Q84">
        <f t="shared" si="18"/>
        <v>0</v>
      </c>
    </row>
    <row r="85" spans="1:17" ht="12.75">
      <c r="A85" s="73">
        <v>40098</v>
      </c>
      <c r="B85" s="74">
        <v>0</v>
      </c>
      <c r="C85" s="99">
        <v>0</v>
      </c>
      <c r="D85" s="75">
        <f t="shared" si="1"/>
        <v>0</v>
      </c>
      <c r="E85" s="75">
        <v>0</v>
      </c>
      <c r="F85" s="76">
        <f t="shared" si="13"/>
        <v>0</v>
      </c>
      <c r="G85" s="77">
        <f t="shared" si="14"/>
        <v>0</v>
      </c>
      <c r="H85" s="79">
        <f t="shared" si="15"/>
        <v>0</v>
      </c>
      <c r="I85" s="78">
        <f t="shared" si="16"/>
        <v>0</v>
      </c>
      <c r="J85" s="78">
        <f t="shared" si="17"/>
        <v>0</v>
      </c>
      <c r="Q85">
        <f t="shared" si="18"/>
        <v>0</v>
      </c>
    </row>
    <row r="86" spans="1:17" ht="12.75">
      <c r="A86" s="73">
        <v>40108</v>
      </c>
      <c r="B86" s="74">
        <v>0</v>
      </c>
      <c r="C86" s="99">
        <v>0</v>
      </c>
      <c r="D86" s="75">
        <f t="shared" si="1"/>
        <v>0</v>
      </c>
      <c r="E86" s="75">
        <v>0</v>
      </c>
      <c r="F86" s="76">
        <f t="shared" si="13"/>
        <v>0</v>
      </c>
      <c r="G86" s="77">
        <f t="shared" si="14"/>
        <v>0</v>
      </c>
      <c r="H86" s="79">
        <f t="shared" si="15"/>
        <v>0</v>
      </c>
      <c r="I86" s="78">
        <f t="shared" si="16"/>
        <v>0</v>
      </c>
      <c r="J86" s="78">
        <f t="shared" si="17"/>
        <v>0</v>
      </c>
      <c r="Q86">
        <f t="shared" si="18"/>
        <v>0</v>
      </c>
    </row>
    <row r="87" spans="1:17" ht="12.75">
      <c r="A87" s="73">
        <v>40109</v>
      </c>
      <c r="B87" s="74">
        <v>0</v>
      </c>
      <c r="C87" s="99">
        <v>0</v>
      </c>
      <c r="D87" s="75">
        <f t="shared" si="1"/>
        <v>0</v>
      </c>
      <c r="E87" s="75">
        <v>0</v>
      </c>
      <c r="F87" s="76">
        <f t="shared" si="13"/>
        <v>0</v>
      </c>
      <c r="G87" s="77">
        <f t="shared" si="14"/>
        <v>0</v>
      </c>
      <c r="H87" s="79">
        <f t="shared" si="15"/>
        <v>0</v>
      </c>
      <c r="I87" s="78">
        <f t="shared" si="16"/>
        <v>0</v>
      </c>
      <c r="J87" s="78">
        <f t="shared" si="17"/>
        <v>0</v>
      </c>
      <c r="Q87">
        <f t="shared" si="18"/>
        <v>0</v>
      </c>
    </row>
    <row r="88" spans="1:17" ht="12.75">
      <c r="A88" s="73">
        <v>40117</v>
      </c>
      <c r="B88" s="74">
        <v>0</v>
      </c>
      <c r="C88" s="99">
        <v>0</v>
      </c>
      <c r="D88" s="75">
        <f t="shared" si="1"/>
        <v>0</v>
      </c>
      <c r="E88" s="75">
        <v>0</v>
      </c>
      <c r="F88" s="76">
        <f t="shared" si="13"/>
        <v>0</v>
      </c>
      <c r="G88" s="77">
        <f t="shared" si="14"/>
        <v>0</v>
      </c>
      <c r="H88" s="79">
        <f t="shared" si="15"/>
        <v>0</v>
      </c>
      <c r="I88" s="78">
        <f t="shared" si="16"/>
        <v>0</v>
      </c>
      <c r="J88" s="78">
        <f t="shared" si="17"/>
        <v>0</v>
      </c>
      <c r="Q88">
        <f t="shared" si="18"/>
        <v>0</v>
      </c>
    </row>
    <row r="89" spans="1:17" ht="12.75">
      <c r="A89" s="73">
        <v>40122</v>
      </c>
      <c r="B89" s="74">
        <v>0</v>
      </c>
      <c r="C89" s="99">
        <v>0</v>
      </c>
      <c r="D89" s="75">
        <f>B89*C89</f>
        <v>0</v>
      </c>
      <c r="E89" s="75">
        <v>0</v>
      </c>
      <c r="F89" s="76">
        <f t="shared" si="13"/>
        <v>0</v>
      </c>
      <c r="G89" s="77">
        <f t="shared" si="14"/>
        <v>0</v>
      </c>
      <c r="H89" s="79">
        <f t="shared" si="15"/>
        <v>0</v>
      </c>
      <c r="I89" s="78">
        <f t="shared" si="16"/>
        <v>0</v>
      </c>
      <c r="J89" s="78">
        <f t="shared" si="17"/>
        <v>0</v>
      </c>
      <c r="Q89">
        <f t="shared" si="18"/>
        <v>0</v>
      </c>
    </row>
    <row r="90" spans="1:17" ht="12.75">
      <c r="A90" s="73">
        <v>40126</v>
      </c>
      <c r="B90" s="74">
        <v>0</v>
      </c>
      <c r="C90" s="99">
        <v>0</v>
      </c>
      <c r="D90" s="75">
        <f t="shared" si="1"/>
        <v>0</v>
      </c>
      <c r="E90" s="75">
        <v>0</v>
      </c>
      <c r="F90" s="76">
        <f t="shared" si="13"/>
        <v>0</v>
      </c>
      <c r="G90" s="77">
        <f aca="true" t="shared" si="19" ref="G90:G95">IF(F90&gt;0,B90/F90*100,0)</f>
        <v>0</v>
      </c>
      <c r="H90" s="79">
        <f aca="true" t="shared" si="20" ref="H90:H95">IF(F90&gt;0,D90/F90,0)</f>
        <v>0</v>
      </c>
      <c r="I90" s="78">
        <f t="shared" si="16"/>
        <v>0</v>
      </c>
      <c r="J90" s="78">
        <f t="shared" si="17"/>
        <v>0</v>
      </c>
      <c r="Q90">
        <f t="shared" si="18"/>
        <v>0</v>
      </c>
    </row>
    <row r="91" spans="1:17" ht="12.75">
      <c r="A91" s="73">
        <v>40128</v>
      </c>
      <c r="B91" s="74">
        <v>0</v>
      </c>
      <c r="C91" s="99">
        <v>0</v>
      </c>
      <c r="D91" s="75">
        <f t="shared" si="1"/>
        <v>0</v>
      </c>
      <c r="E91" s="75">
        <v>0</v>
      </c>
      <c r="F91" s="76">
        <f aca="true" t="shared" si="21" ref="F91:F98">IF(E92&gt;0,E92-E91,0)</f>
        <v>0</v>
      </c>
      <c r="G91" s="77">
        <f t="shared" si="19"/>
        <v>0</v>
      </c>
      <c r="H91" s="79">
        <f t="shared" si="20"/>
        <v>0</v>
      </c>
      <c r="I91" s="78">
        <f t="shared" si="16"/>
        <v>0</v>
      </c>
      <c r="J91" s="78">
        <f t="shared" si="17"/>
        <v>0</v>
      </c>
      <c r="Q91">
        <f t="shared" si="18"/>
        <v>0</v>
      </c>
    </row>
    <row r="92" spans="1:17" ht="12.75">
      <c r="A92" s="73">
        <v>40132</v>
      </c>
      <c r="B92" s="74">
        <v>0</v>
      </c>
      <c r="C92" s="99">
        <v>0</v>
      </c>
      <c r="D92" s="75">
        <f t="shared" si="1"/>
        <v>0</v>
      </c>
      <c r="E92" s="75">
        <v>0</v>
      </c>
      <c r="F92" s="76">
        <f t="shared" si="21"/>
        <v>0</v>
      </c>
      <c r="G92" s="77">
        <f t="shared" si="19"/>
        <v>0</v>
      </c>
      <c r="H92" s="79">
        <f t="shared" si="20"/>
        <v>0</v>
      </c>
      <c r="I92" s="78">
        <f t="shared" si="16"/>
        <v>0</v>
      </c>
      <c r="J92" s="78">
        <f aca="true" t="shared" si="22" ref="J92:J122">IF(F92&gt;0,F92/I92,0)</f>
        <v>0</v>
      </c>
      <c r="Q92">
        <f t="shared" si="18"/>
        <v>0</v>
      </c>
    </row>
    <row r="93" spans="1:17" ht="12.75">
      <c r="A93" s="73">
        <v>40135</v>
      </c>
      <c r="B93" s="74">
        <v>0</v>
      </c>
      <c r="C93" s="99">
        <v>0</v>
      </c>
      <c r="D93" s="75">
        <f t="shared" si="1"/>
        <v>0</v>
      </c>
      <c r="E93" s="75">
        <v>0</v>
      </c>
      <c r="F93" s="76">
        <f t="shared" si="21"/>
        <v>0</v>
      </c>
      <c r="G93" s="77">
        <f t="shared" si="19"/>
        <v>0</v>
      </c>
      <c r="H93" s="79">
        <f t="shared" si="20"/>
        <v>0</v>
      </c>
      <c r="I93" s="78">
        <f>IF(F93&gt;0,A94-A93,0)</f>
        <v>0</v>
      </c>
      <c r="J93" s="78">
        <f t="shared" si="22"/>
        <v>0</v>
      </c>
      <c r="Q93">
        <f t="shared" si="18"/>
        <v>0</v>
      </c>
    </row>
    <row r="94" spans="1:17" ht="12.75">
      <c r="A94" s="73">
        <v>40143</v>
      </c>
      <c r="B94" s="74">
        <v>0</v>
      </c>
      <c r="C94" s="99">
        <v>0</v>
      </c>
      <c r="D94" s="75">
        <f t="shared" si="1"/>
        <v>0</v>
      </c>
      <c r="E94" s="75">
        <v>0</v>
      </c>
      <c r="F94" s="76">
        <f t="shared" si="21"/>
        <v>0</v>
      </c>
      <c r="G94" s="77">
        <f t="shared" si="19"/>
        <v>0</v>
      </c>
      <c r="H94" s="79">
        <f t="shared" si="20"/>
        <v>0</v>
      </c>
      <c r="I94" s="78">
        <f>IF(F94&gt;0,A95-A94,0)</f>
        <v>0</v>
      </c>
      <c r="J94" s="78">
        <f t="shared" si="22"/>
        <v>0</v>
      </c>
      <c r="Q94">
        <f t="shared" si="18"/>
        <v>0</v>
      </c>
    </row>
    <row r="95" spans="1:17" ht="12.75">
      <c r="A95" s="73">
        <v>40145</v>
      </c>
      <c r="B95" s="74">
        <v>0</v>
      </c>
      <c r="C95" s="99">
        <v>0</v>
      </c>
      <c r="D95" s="75">
        <f t="shared" si="1"/>
        <v>0</v>
      </c>
      <c r="E95" s="75">
        <v>0</v>
      </c>
      <c r="F95" s="76">
        <f t="shared" si="21"/>
        <v>0</v>
      </c>
      <c r="G95" s="77">
        <f t="shared" si="19"/>
        <v>0</v>
      </c>
      <c r="H95" s="79">
        <f t="shared" si="20"/>
        <v>0</v>
      </c>
      <c r="I95" s="78">
        <f>IF(F95&gt;0,A96-A95,0)</f>
        <v>0</v>
      </c>
      <c r="J95" s="78">
        <f t="shared" si="22"/>
        <v>0</v>
      </c>
      <c r="Q95">
        <f t="shared" si="18"/>
        <v>0</v>
      </c>
    </row>
    <row r="96" spans="1:17" ht="12.75">
      <c r="A96" s="73">
        <v>40151</v>
      </c>
      <c r="B96" s="74">
        <v>0</v>
      </c>
      <c r="C96" s="99">
        <v>0</v>
      </c>
      <c r="D96" s="75">
        <f t="shared" si="1"/>
        <v>0</v>
      </c>
      <c r="E96" s="75">
        <v>0</v>
      </c>
      <c r="F96" s="76">
        <f t="shared" si="21"/>
        <v>0</v>
      </c>
      <c r="G96" s="77">
        <f aca="true" t="shared" si="23" ref="G96:G122">IF(F96&gt;0,B96/F96*100,0)</f>
        <v>0</v>
      </c>
      <c r="H96" s="79">
        <f aca="true" t="shared" si="24" ref="H96:H122">IF(F96&gt;0,D96/F96,0)</f>
        <v>0</v>
      </c>
      <c r="I96" s="78">
        <f>IF(F96&gt;0,A97-A96,0)</f>
        <v>0</v>
      </c>
      <c r="J96" s="78">
        <f t="shared" si="22"/>
        <v>0</v>
      </c>
      <c r="O96" s="16">
        <f>SUM(M43:M54)</f>
        <v>20968</v>
      </c>
      <c r="Q96">
        <f t="shared" si="18"/>
        <v>0</v>
      </c>
    </row>
    <row r="97" spans="1:17" ht="12.75">
      <c r="A97" s="73">
        <v>40159</v>
      </c>
      <c r="B97" s="74">
        <v>0</v>
      </c>
      <c r="C97" s="99">
        <v>0</v>
      </c>
      <c r="D97" s="75">
        <f t="shared" si="1"/>
        <v>0</v>
      </c>
      <c r="E97" s="75">
        <v>0</v>
      </c>
      <c r="F97" s="76">
        <f t="shared" si="21"/>
        <v>0</v>
      </c>
      <c r="G97" s="77">
        <f t="shared" si="23"/>
        <v>0</v>
      </c>
      <c r="H97" s="79">
        <f t="shared" si="24"/>
        <v>0</v>
      </c>
      <c r="I97" s="78">
        <f>IF(F97&gt;0,A98-A97,0)</f>
        <v>0</v>
      </c>
      <c r="J97" s="78">
        <f t="shared" si="22"/>
        <v>0</v>
      </c>
      <c r="M97" s="81">
        <f>F2</f>
        <v>21739</v>
      </c>
      <c r="N97" s="82">
        <f>G2</f>
        <v>11.742936657619945</v>
      </c>
      <c r="Q97">
        <f t="shared" si="18"/>
        <v>0</v>
      </c>
    </row>
    <row r="98" spans="1:17" ht="12.75">
      <c r="A98" s="73">
        <v>40165</v>
      </c>
      <c r="B98" s="74">
        <v>0</v>
      </c>
      <c r="C98" s="99">
        <v>0</v>
      </c>
      <c r="D98" s="75">
        <f t="shared" si="1"/>
        <v>0</v>
      </c>
      <c r="E98" s="75">
        <v>0</v>
      </c>
      <c r="F98" s="76">
        <f t="shared" si="21"/>
        <v>0</v>
      </c>
      <c r="G98" s="77">
        <f t="shared" si="23"/>
        <v>0</v>
      </c>
      <c r="H98" s="79">
        <f t="shared" si="24"/>
        <v>0</v>
      </c>
      <c r="I98" s="78">
        <f aca="true" t="shared" si="25" ref="I98:I122">IF(F98&gt;0,A99-A98,0)</f>
        <v>0</v>
      </c>
      <c r="J98" s="78">
        <f t="shared" si="22"/>
        <v>0</v>
      </c>
      <c r="Q98">
        <f t="shared" si="18"/>
        <v>0</v>
      </c>
    </row>
    <row r="99" spans="1:17" ht="12.75">
      <c r="A99" s="73">
        <v>40169</v>
      </c>
      <c r="B99" s="74">
        <v>0</v>
      </c>
      <c r="C99" s="99">
        <v>0</v>
      </c>
      <c r="D99" s="75">
        <f t="shared" si="1"/>
        <v>0</v>
      </c>
      <c r="E99" s="75">
        <v>0</v>
      </c>
      <c r="F99" s="76">
        <f aca="true" t="shared" si="26" ref="F99:F122">IF(E100&gt;0,E100-E99,0)</f>
        <v>0</v>
      </c>
      <c r="G99" s="77">
        <f t="shared" si="23"/>
        <v>0</v>
      </c>
      <c r="H99" s="79">
        <f t="shared" si="24"/>
        <v>0</v>
      </c>
      <c r="I99" s="78">
        <f t="shared" si="25"/>
        <v>0</v>
      </c>
      <c r="J99" s="78">
        <f t="shared" si="22"/>
        <v>0</v>
      </c>
      <c r="Q99">
        <f t="shared" si="18"/>
        <v>0</v>
      </c>
    </row>
    <row r="100" spans="1:17" ht="12.75">
      <c r="A100" s="73">
        <v>40177</v>
      </c>
      <c r="B100" s="74">
        <v>0</v>
      </c>
      <c r="C100" s="99">
        <v>0</v>
      </c>
      <c r="D100" s="75">
        <f aca="true" t="shared" si="27" ref="D100:D122">B100*C100</f>
        <v>0</v>
      </c>
      <c r="E100" s="75">
        <v>0</v>
      </c>
      <c r="F100" s="76">
        <f t="shared" si="26"/>
        <v>0</v>
      </c>
      <c r="G100" s="77">
        <f t="shared" si="23"/>
        <v>0</v>
      </c>
      <c r="H100" s="79">
        <f t="shared" si="24"/>
        <v>0</v>
      </c>
      <c r="I100" s="78">
        <f t="shared" si="25"/>
        <v>0</v>
      </c>
      <c r="J100" s="78">
        <f t="shared" si="22"/>
        <v>0</v>
      </c>
      <c r="Q100">
        <f t="shared" si="18"/>
        <v>0</v>
      </c>
    </row>
    <row r="101" spans="1:17" ht="12.75">
      <c r="A101" s="73">
        <v>40184</v>
      </c>
      <c r="B101" s="74">
        <v>0</v>
      </c>
      <c r="C101" s="99">
        <v>0</v>
      </c>
      <c r="D101" s="75">
        <f t="shared" si="27"/>
        <v>0</v>
      </c>
      <c r="E101" s="75">
        <v>0</v>
      </c>
      <c r="F101" s="76">
        <f t="shared" si="26"/>
        <v>0</v>
      </c>
      <c r="G101" s="77">
        <f t="shared" si="23"/>
        <v>0</v>
      </c>
      <c r="H101" s="79">
        <f t="shared" si="24"/>
        <v>0</v>
      </c>
      <c r="I101" s="78">
        <f t="shared" si="25"/>
        <v>0</v>
      </c>
      <c r="J101" s="78">
        <f t="shared" si="22"/>
        <v>0</v>
      </c>
      <c r="Q101">
        <f t="shared" si="18"/>
        <v>0</v>
      </c>
    </row>
    <row r="102" spans="1:17" ht="12.75">
      <c r="A102" s="73">
        <v>40188</v>
      </c>
      <c r="B102" s="74">
        <v>0</v>
      </c>
      <c r="C102" s="99">
        <v>0</v>
      </c>
      <c r="D102" s="75">
        <f t="shared" si="27"/>
        <v>0</v>
      </c>
      <c r="E102" s="75">
        <v>0</v>
      </c>
      <c r="F102" s="76">
        <f t="shared" si="26"/>
        <v>0</v>
      </c>
      <c r="G102" s="77">
        <f t="shared" si="23"/>
        <v>0</v>
      </c>
      <c r="H102" s="79">
        <f t="shared" si="24"/>
        <v>0</v>
      </c>
      <c r="I102" s="78">
        <f t="shared" si="25"/>
        <v>0</v>
      </c>
      <c r="J102" s="78">
        <f t="shared" si="22"/>
        <v>0</v>
      </c>
      <c r="Q102">
        <f t="shared" si="18"/>
        <v>0</v>
      </c>
    </row>
    <row r="103" spans="1:17" ht="12.75">
      <c r="A103" s="73">
        <v>40189</v>
      </c>
      <c r="B103" s="74">
        <v>0</v>
      </c>
      <c r="C103" s="99">
        <v>0</v>
      </c>
      <c r="D103" s="75">
        <f t="shared" si="27"/>
        <v>0</v>
      </c>
      <c r="E103" s="75">
        <v>0</v>
      </c>
      <c r="F103" s="76">
        <f t="shared" si="26"/>
        <v>0</v>
      </c>
      <c r="G103" s="77">
        <f t="shared" si="23"/>
        <v>0</v>
      </c>
      <c r="H103" s="79">
        <f t="shared" si="24"/>
        <v>0</v>
      </c>
      <c r="I103" s="78">
        <f t="shared" si="25"/>
        <v>0</v>
      </c>
      <c r="J103" s="78">
        <f t="shared" si="22"/>
        <v>0</v>
      </c>
      <c r="Q103">
        <f t="shared" si="18"/>
        <v>0</v>
      </c>
    </row>
    <row r="104" spans="1:17" ht="12.75">
      <c r="A104" s="73">
        <v>40192</v>
      </c>
      <c r="B104" s="74">
        <v>0</v>
      </c>
      <c r="C104" s="99">
        <v>0</v>
      </c>
      <c r="D104" s="75">
        <f t="shared" si="27"/>
        <v>0</v>
      </c>
      <c r="E104" s="75">
        <v>0</v>
      </c>
      <c r="F104" s="76">
        <f t="shared" si="26"/>
        <v>0</v>
      </c>
      <c r="G104" s="77">
        <f t="shared" si="23"/>
        <v>0</v>
      </c>
      <c r="H104" s="79">
        <f t="shared" si="24"/>
        <v>0</v>
      </c>
      <c r="I104" s="78">
        <f t="shared" si="25"/>
        <v>0</v>
      </c>
      <c r="J104" s="78">
        <f t="shared" si="22"/>
        <v>0</v>
      </c>
      <c r="Q104">
        <f t="shared" si="18"/>
        <v>0</v>
      </c>
    </row>
    <row r="105" spans="1:17" ht="12.75">
      <c r="A105" s="73">
        <v>40194</v>
      </c>
      <c r="B105" s="74">
        <v>0</v>
      </c>
      <c r="C105" s="99">
        <v>0</v>
      </c>
      <c r="D105" s="75">
        <f t="shared" si="27"/>
        <v>0</v>
      </c>
      <c r="E105" s="75">
        <v>0</v>
      </c>
      <c r="F105" s="76">
        <f t="shared" si="26"/>
        <v>0</v>
      </c>
      <c r="G105" s="77">
        <f t="shared" si="23"/>
        <v>0</v>
      </c>
      <c r="H105" s="79">
        <f t="shared" si="24"/>
        <v>0</v>
      </c>
      <c r="I105" s="78">
        <f t="shared" si="25"/>
        <v>0</v>
      </c>
      <c r="J105" s="78">
        <f t="shared" si="22"/>
        <v>0</v>
      </c>
      <c r="Q105">
        <f t="shared" si="18"/>
        <v>0</v>
      </c>
    </row>
    <row r="106" spans="1:17" ht="12.75">
      <c r="A106" s="73">
        <v>40199</v>
      </c>
      <c r="B106" s="74">
        <v>0</v>
      </c>
      <c r="C106" s="99">
        <v>0</v>
      </c>
      <c r="D106" s="75">
        <f t="shared" si="27"/>
        <v>0</v>
      </c>
      <c r="E106" s="75">
        <v>0</v>
      </c>
      <c r="F106" s="76">
        <f t="shared" si="26"/>
        <v>0</v>
      </c>
      <c r="G106" s="77">
        <f t="shared" si="23"/>
        <v>0</v>
      </c>
      <c r="H106" s="79">
        <f t="shared" si="24"/>
        <v>0</v>
      </c>
      <c r="I106" s="78">
        <f t="shared" si="25"/>
        <v>0</v>
      </c>
      <c r="J106" s="78">
        <f t="shared" si="22"/>
        <v>0</v>
      </c>
      <c r="Q106">
        <f t="shared" si="18"/>
        <v>0</v>
      </c>
    </row>
    <row r="107" spans="1:17" ht="12.75">
      <c r="A107" s="73">
        <v>40205</v>
      </c>
      <c r="B107" s="74">
        <v>0</v>
      </c>
      <c r="C107" s="99">
        <v>0</v>
      </c>
      <c r="D107" s="75">
        <f t="shared" si="27"/>
        <v>0</v>
      </c>
      <c r="E107" s="75">
        <v>0</v>
      </c>
      <c r="F107" s="76">
        <f t="shared" si="26"/>
        <v>0</v>
      </c>
      <c r="G107" s="77">
        <f t="shared" si="23"/>
        <v>0</v>
      </c>
      <c r="H107" s="79">
        <f t="shared" si="24"/>
        <v>0</v>
      </c>
      <c r="I107" s="78">
        <f t="shared" si="25"/>
        <v>0</v>
      </c>
      <c r="J107" s="78">
        <f t="shared" si="22"/>
        <v>0</v>
      </c>
      <c r="Q107">
        <f t="shared" si="18"/>
        <v>0</v>
      </c>
    </row>
    <row r="108" spans="1:17" ht="12.75">
      <c r="A108" s="73">
        <v>40209</v>
      </c>
      <c r="B108" s="74">
        <v>0</v>
      </c>
      <c r="C108" s="99">
        <v>0</v>
      </c>
      <c r="D108" s="75">
        <f t="shared" si="27"/>
        <v>0</v>
      </c>
      <c r="E108" s="75">
        <v>0</v>
      </c>
      <c r="F108" s="76">
        <f t="shared" si="26"/>
        <v>0</v>
      </c>
      <c r="G108" s="77">
        <f t="shared" si="23"/>
        <v>0</v>
      </c>
      <c r="H108" s="79">
        <f t="shared" si="24"/>
        <v>0</v>
      </c>
      <c r="I108" s="78">
        <f t="shared" si="25"/>
        <v>0</v>
      </c>
      <c r="J108" s="78">
        <f t="shared" si="22"/>
        <v>0</v>
      </c>
      <c r="Q108">
        <f t="shared" si="18"/>
        <v>0</v>
      </c>
    </row>
    <row r="109" spans="1:17" ht="12.75">
      <c r="A109" s="73">
        <v>40215</v>
      </c>
      <c r="B109" s="74">
        <v>0</v>
      </c>
      <c r="C109" s="99">
        <v>0</v>
      </c>
      <c r="D109" s="75">
        <f t="shared" si="27"/>
        <v>0</v>
      </c>
      <c r="E109" s="75">
        <v>0</v>
      </c>
      <c r="F109" s="76">
        <f t="shared" si="26"/>
        <v>0</v>
      </c>
      <c r="G109" s="77">
        <f t="shared" si="23"/>
        <v>0</v>
      </c>
      <c r="H109" s="79">
        <f t="shared" si="24"/>
        <v>0</v>
      </c>
      <c r="I109" s="78">
        <f t="shared" si="25"/>
        <v>0</v>
      </c>
      <c r="J109" s="78">
        <f t="shared" si="22"/>
        <v>0</v>
      </c>
      <c r="Q109">
        <f t="shared" si="18"/>
        <v>0</v>
      </c>
    </row>
    <row r="110" spans="1:17" ht="12.75">
      <c r="A110" s="73">
        <v>40221</v>
      </c>
      <c r="B110" s="74">
        <v>0</v>
      </c>
      <c r="C110" s="99">
        <v>0</v>
      </c>
      <c r="D110" s="75">
        <f t="shared" si="27"/>
        <v>0</v>
      </c>
      <c r="E110" s="75">
        <v>0</v>
      </c>
      <c r="F110" s="76">
        <f t="shared" si="26"/>
        <v>0</v>
      </c>
      <c r="G110" s="77">
        <f t="shared" si="23"/>
        <v>0</v>
      </c>
      <c r="H110" s="79">
        <f t="shared" si="24"/>
        <v>0</v>
      </c>
      <c r="I110" s="78">
        <f t="shared" si="25"/>
        <v>0</v>
      </c>
      <c r="J110" s="78">
        <f t="shared" si="22"/>
        <v>0</v>
      </c>
      <c r="Q110">
        <f t="shared" si="18"/>
        <v>0</v>
      </c>
    </row>
    <row r="111" spans="1:17" ht="12.75">
      <c r="A111" s="73">
        <v>40227</v>
      </c>
      <c r="B111" s="74">
        <v>0</v>
      </c>
      <c r="C111" s="99">
        <v>0</v>
      </c>
      <c r="D111" s="75">
        <f t="shared" si="27"/>
        <v>0</v>
      </c>
      <c r="E111" s="75">
        <v>0</v>
      </c>
      <c r="F111" s="76">
        <f t="shared" si="26"/>
        <v>0</v>
      </c>
      <c r="G111" s="77">
        <f t="shared" si="23"/>
        <v>0</v>
      </c>
      <c r="H111" s="79">
        <f t="shared" si="24"/>
        <v>0</v>
      </c>
      <c r="I111" s="78">
        <f t="shared" si="25"/>
        <v>0</v>
      </c>
      <c r="J111" s="78">
        <f t="shared" si="22"/>
        <v>0</v>
      </c>
      <c r="Q111">
        <f t="shared" si="18"/>
        <v>0</v>
      </c>
    </row>
    <row r="112" spans="1:17" ht="12.75">
      <c r="A112" s="73"/>
      <c r="B112" s="74">
        <v>0</v>
      </c>
      <c r="C112" s="99">
        <v>0</v>
      </c>
      <c r="D112" s="75">
        <f>B112*C112</f>
        <v>0</v>
      </c>
      <c r="E112" s="75"/>
      <c r="F112" s="76">
        <f t="shared" si="26"/>
        <v>0</v>
      </c>
      <c r="G112" s="77">
        <f t="shared" si="23"/>
        <v>0</v>
      </c>
      <c r="H112" s="79">
        <f t="shared" si="24"/>
        <v>0</v>
      </c>
      <c r="I112" s="78">
        <f t="shared" si="25"/>
        <v>0</v>
      </c>
      <c r="J112" s="78">
        <f t="shared" si="22"/>
        <v>0</v>
      </c>
      <c r="Q112">
        <f t="shared" si="18"/>
        <v>0</v>
      </c>
    </row>
    <row r="113" spans="1:17" ht="12.75">
      <c r="A113" s="73"/>
      <c r="B113" s="74"/>
      <c r="C113" s="99">
        <v>0</v>
      </c>
      <c r="D113" s="75">
        <f t="shared" si="27"/>
        <v>0</v>
      </c>
      <c r="E113" s="75"/>
      <c r="F113" s="76">
        <f t="shared" si="26"/>
        <v>0</v>
      </c>
      <c r="G113" s="77">
        <f t="shared" si="23"/>
        <v>0</v>
      </c>
      <c r="H113" s="79">
        <f t="shared" si="24"/>
        <v>0</v>
      </c>
      <c r="I113" s="78">
        <f t="shared" si="25"/>
        <v>0</v>
      </c>
      <c r="J113" s="78">
        <f t="shared" si="22"/>
        <v>0</v>
      </c>
      <c r="Q113">
        <f t="shared" si="18"/>
        <v>0</v>
      </c>
    </row>
    <row r="114" spans="1:17" ht="12.75">
      <c r="A114" s="73"/>
      <c r="B114" s="74"/>
      <c r="C114" s="99"/>
      <c r="D114" s="75">
        <f t="shared" si="27"/>
        <v>0</v>
      </c>
      <c r="E114" s="75"/>
      <c r="F114" s="76">
        <f t="shared" si="26"/>
        <v>0</v>
      </c>
      <c r="G114" s="77">
        <f t="shared" si="23"/>
        <v>0</v>
      </c>
      <c r="H114" s="79">
        <f t="shared" si="24"/>
        <v>0</v>
      </c>
      <c r="I114" s="78">
        <f t="shared" si="25"/>
        <v>0</v>
      </c>
      <c r="J114" s="78">
        <f t="shared" si="22"/>
        <v>0</v>
      </c>
      <c r="Q114">
        <f t="shared" si="18"/>
        <v>0</v>
      </c>
    </row>
    <row r="115" spans="1:17" ht="12.75">
      <c r="A115" s="73"/>
      <c r="B115" s="74"/>
      <c r="C115" s="99"/>
      <c r="D115" s="75">
        <f t="shared" si="27"/>
        <v>0</v>
      </c>
      <c r="E115" s="75"/>
      <c r="F115" s="76">
        <f t="shared" si="26"/>
        <v>0</v>
      </c>
      <c r="G115" s="77">
        <f t="shared" si="23"/>
        <v>0</v>
      </c>
      <c r="H115" s="79">
        <f t="shared" si="24"/>
        <v>0</v>
      </c>
      <c r="I115" s="78">
        <f t="shared" si="25"/>
        <v>0</v>
      </c>
      <c r="J115" s="78">
        <f t="shared" si="22"/>
        <v>0</v>
      </c>
      <c r="Q115">
        <f t="shared" si="18"/>
        <v>0</v>
      </c>
    </row>
    <row r="116" spans="1:17" ht="12.75">
      <c r="A116" s="73"/>
      <c r="B116" s="74"/>
      <c r="C116" s="99"/>
      <c r="D116" s="75">
        <f t="shared" si="27"/>
        <v>0</v>
      </c>
      <c r="E116" s="75"/>
      <c r="F116" s="76">
        <f t="shared" si="26"/>
        <v>0</v>
      </c>
      <c r="G116" s="77">
        <f t="shared" si="23"/>
        <v>0</v>
      </c>
      <c r="H116" s="79">
        <f t="shared" si="24"/>
        <v>0</v>
      </c>
      <c r="I116" s="78">
        <f t="shared" si="25"/>
        <v>0</v>
      </c>
      <c r="J116" s="78">
        <f t="shared" si="22"/>
        <v>0</v>
      </c>
      <c r="Q116">
        <f t="shared" si="18"/>
        <v>0</v>
      </c>
    </row>
    <row r="117" spans="1:17" ht="12.75">
      <c r="A117" s="73"/>
      <c r="B117" s="74"/>
      <c r="C117" s="99"/>
      <c r="D117" s="75">
        <f t="shared" si="27"/>
        <v>0</v>
      </c>
      <c r="E117" s="75"/>
      <c r="F117" s="76">
        <f t="shared" si="26"/>
        <v>0</v>
      </c>
      <c r="G117" s="77">
        <f t="shared" si="23"/>
        <v>0</v>
      </c>
      <c r="H117" s="79">
        <f t="shared" si="24"/>
        <v>0</v>
      </c>
      <c r="I117" s="78">
        <f t="shared" si="25"/>
        <v>0</v>
      </c>
      <c r="J117" s="78">
        <f t="shared" si="22"/>
        <v>0</v>
      </c>
      <c r="Q117">
        <f t="shared" si="18"/>
        <v>0</v>
      </c>
    </row>
    <row r="118" spans="1:17" ht="12.75">
      <c r="A118" s="73"/>
      <c r="B118" s="74"/>
      <c r="C118" s="99"/>
      <c r="D118" s="75">
        <f t="shared" si="27"/>
        <v>0</v>
      </c>
      <c r="E118" s="75"/>
      <c r="F118" s="76">
        <f t="shared" si="26"/>
        <v>0</v>
      </c>
      <c r="G118" s="77">
        <f t="shared" si="23"/>
        <v>0</v>
      </c>
      <c r="H118" s="79">
        <f t="shared" si="24"/>
        <v>0</v>
      </c>
      <c r="I118" s="78">
        <f t="shared" si="25"/>
        <v>0</v>
      </c>
      <c r="J118" s="78">
        <f t="shared" si="22"/>
        <v>0</v>
      </c>
      <c r="Q118">
        <f t="shared" si="18"/>
        <v>0</v>
      </c>
    </row>
    <row r="119" spans="1:17" ht="12.75">
      <c r="A119" s="73"/>
      <c r="B119" s="74"/>
      <c r="C119" s="99"/>
      <c r="D119" s="75">
        <f t="shared" si="27"/>
        <v>0</v>
      </c>
      <c r="E119" s="75"/>
      <c r="F119" s="76">
        <f t="shared" si="26"/>
        <v>0</v>
      </c>
      <c r="G119" s="77">
        <f t="shared" si="23"/>
        <v>0</v>
      </c>
      <c r="H119" s="79">
        <f t="shared" si="24"/>
        <v>0</v>
      </c>
      <c r="I119" s="78">
        <f t="shared" si="25"/>
        <v>0</v>
      </c>
      <c r="J119" s="78">
        <f t="shared" si="22"/>
        <v>0</v>
      </c>
      <c r="Q119">
        <f t="shared" si="18"/>
        <v>0</v>
      </c>
    </row>
    <row r="120" spans="1:17" ht="12.75">
      <c r="A120" s="73"/>
      <c r="B120" s="74"/>
      <c r="C120" s="99"/>
      <c r="D120" s="75">
        <f t="shared" si="27"/>
        <v>0</v>
      </c>
      <c r="E120" s="75"/>
      <c r="F120" s="76">
        <f t="shared" si="26"/>
        <v>0</v>
      </c>
      <c r="G120" s="77">
        <f t="shared" si="23"/>
        <v>0</v>
      </c>
      <c r="H120" s="79">
        <f t="shared" si="24"/>
        <v>0</v>
      </c>
      <c r="I120" s="78">
        <f t="shared" si="25"/>
        <v>0</v>
      </c>
      <c r="J120" s="78">
        <f t="shared" si="22"/>
        <v>0</v>
      </c>
      <c r="Q120">
        <f t="shared" si="18"/>
        <v>0</v>
      </c>
    </row>
    <row r="121" spans="1:17" ht="12.75">
      <c r="A121" s="73"/>
      <c r="B121" s="74"/>
      <c r="C121" s="99"/>
      <c r="D121" s="75">
        <f t="shared" si="27"/>
        <v>0</v>
      </c>
      <c r="E121" s="75"/>
      <c r="F121" s="76">
        <f t="shared" si="26"/>
        <v>0</v>
      </c>
      <c r="G121" s="77">
        <f t="shared" si="23"/>
        <v>0</v>
      </c>
      <c r="H121" s="79">
        <f t="shared" si="24"/>
        <v>0</v>
      </c>
      <c r="I121" s="78">
        <f t="shared" si="25"/>
        <v>0</v>
      </c>
      <c r="J121" s="78">
        <f t="shared" si="22"/>
        <v>0</v>
      </c>
      <c r="Q121">
        <f t="shared" si="18"/>
        <v>0</v>
      </c>
    </row>
    <row r="122" spans="1:17" ht="12.75">
      <c r="A122" s="73"/>
      <c r="B122" s="74"/>
      <c r="C122" s="99"/>
      <c r="D122" s="75">
        <f t="shared" si="27"/>
        <v>0</v>
      </c>
      <c r="E122" s="75"/>
      <c r="F122" s="76">
        <f t="shared" si="26"/>
        <v>0</v>
      </c>
      <c r="G122" s="77">
        <f t="shared" si="23"/>
        <v>0</v>
      </c>
      <c r="H122" s="79">
        <f t="shared" si="24"/>
        <v>0</v>
      </c>
      <c r="I122" s="78">
        <f t="shared" si="25"/>
        <v>0</v>
      </c>
      <c r="J122" s="78">
        <f t="shared" si="22"/>
        <v>0</v>
      </c>
      <c r="Q122">
        <f t="shared" si="18"/>
        <v>0</v>
      </c>
    </row>
    <row r="123" spans="1:17" ht="12.75">
      <c r="A123" s="73"/>
      <c r="B123" s="74"/>
      <c r="C123" s="99"/>
      <c r="D123" s="75">
        <f aca="true" t="shared" si="28" ref="D123:D137">B123*C123</f>
        <v>0</v>
      </c>
      <c r="E123" s="75"/>
      <c r="F123" s="76">
        <f aca="true" t="shared" si="29" ref="F123:F137">IF(E124&gt;0,E124-E123,0)</f>
        <v>0</v>
      </c>
      <c r="G123" s="77">
        <f aca="true" t="shared" si="30" ref="G123:G137">IF(F123&gt;0,B123/F123*100,0)</f>
        <v>0</v>
      </c>
      <c r="H123" s="79">
        <f aca="true" t="shared" si="31" ref="H123:H137">IF(F123&gt;0,D123/F123,0)</f>
        <v>0</v>
      </c>
      <c r="I123" s="78">
        <f aca="true" t="shared" si="32" ref="I123:I137">IF(F123&gt;0,A124-A123,0)</f>
        <v>0</v>
      </c>
      <c r="J123" s="78">
        <f aca="true" t="shared" si="33" ref="J123:J137">IF(F123&gt;0,F123/I123,0)</f>
        <v>0</v>
      </c>
      <c r="Q123">
        <f t="shared" si="18"/>
        <v>0</v>
      </c>
    </row>
    <row r="124" spans="1:17" ht="12.75">
      <c r="A124" s="73"/>
      <c r="B124" s="74"/>
      <c r="C124" s="99"/>
      <c r="D124" s="75">
        <f t="shared" si="28"/>
        <v>0</v>
      </c>
      <c r="E124" s="75"/>
      <c r="F124" s="76">
        <f t="shared" si="29"/>
        <v>0</v>
      </c>
      <c r="G124" s="77">
        <f t="shared" si="30"/>
        <v>0</v>
      </c>
      <c r="H124" s="79">
        <f t="shared" si="31"/>
        <v>0</v>
      </c>
      <c r="I124" s="78">
        <f t="shared" si="32"/>
        <v>0</v>
      </c>
      <c r="J124" s="78">
        <f t="shared" si="33"/>
        <v>0</v>
      </c>
      <c r="Q124">
        <f t="shared" si="18"/>
        <v>0</v>
      </c>
    </row>
    <row r="125" spans="1:17" ht="12.75">
      <c r="A125" s="73"/>
      <c r="B125" s="74"/>
      <c r="C125" s="99"/>
      <c r="D125" s="75">
        <f t="shared" si="28"/>
        <v>0</v>
      </c>
      <c r="E125" s="75"/>
      <c r="F125" s="76">
        <f t="shared" si="29"/>
        <v>0</v>
      </c>
      <c r="G125" s="77">
        <f t="shared" si="30"/>
        <v>0</v>
      </c>
      <c r="H125" s="79">
        <f t="shared" si="31"/>
        <v>0</v>
      </c>
      <c r="I125" s="78">
        <f t="shared" si="32"/>
        <v>0</v>
      </c>
      <c r="J125" s="78">
        <f t="shared" si="33"/>
        <v>0</v>
      </c>
      <c r="Q125">
        <f t="shared" si="18"/>
        <v>0</v>
      </c>
    </row>
    <row r="126" spans="1:17" ht="12.75">
      <c r="A126" s="73"/>
      <c r="B126" s="74"/>
      <c r="C126" s="99"/>
      <c r="D126" s="75">
        <f t="shared" si="28"/>
        <v>0</v>
      </c>
      <c r="E126" s="75"/>
      <c r="F126" s="76">
        <f t="shared" si="29"/>
        <v>0</v>
      </c>
      <c r="G126" s="77">
        <f t="shared" si="30"/>
        <v>0</v>
      </c>
      <c r="H126" s="79">
        <f t="shared" si="31"/>
        <v>0</v>
      </c>
      <c r="I126" s="78">
        <f t="shared" si="32"/>
        <v>0</v>
      </c>
      <c r="J126" s="78">
        <f t="shared" si="33"/>
        <v>0</v>
      </c>
      <c r="Q126">
        <f t="shared" si="18"/>
        <v>0</v>
      </c>
    </row>
    <row r="127" spans="1:17" ht="12.75">
      <c r="A127" s="73"/>
      <c r="B127" s="74"/>
      <c r="C127" s="99"/>
      <c r="D127" s="75">
        <f t="shared" si="28"/>
        <v>0</v>
      </c>
      <c r="E127" s="75"/>
      <c r="F127" s="76">
        <f t="shared" si="29"/>
        <v>0</v>
      </c>
      <c r="G127" s="77">
        <f t="shared" si="30"/>
        <v>0</v>
      </c>
      <c r="H127" s="79">
        <f t="shared" si="31"/>
        <v>0</v>
      </c>
      <c r="I127" s="78">
        <f t="shared" si="32"/>
        <v>0</v>
      </c>
      <c r="J127" s="78">
        <f t="shared" si="33"/>
        <v>0</v>
      </c>
      <c r="Q127">
        <f t="shared" si="18"/>
        <v>0</v>
      </c>
    </row>
    <row r="128" spans="1:17" ht="12.75">
      <c r="A128" s="73"/>
      <c r="B128" s="74"/>
      <c r="C128" s="99"/>
      <c r="D128" s="75">
        <f t="shared" si="28"/>
        <v>0</v>
      </c>
      <c r="E128" s="75"/>
      <c r="F128" s="76">
        <f t="shared" si="29"/>
        <v>0</v>
      </c>
      <c r="G128" s="77">
        <f t="shared" si="30"/>
        <v>0</v>
      </c>
      <c r="H128" s="79">
        <f t="shared" si="31"/>
        <v>0</v>
      </c>
      <c r="I128" s="78">
        <f t="shared" si="32"/>
        <v>0</v>
      </c>
      <c r="J128" s="78">
        <f t="shared" si="33"/>
        <v>0</v>
      </c>
      <c r="Q128">
        <f t="shared" si="18"/>
        <v>0</v>
      </c>
    </row>
    <row r="129" spans="1:17" ht="12.75">
      <c r="A129" s="73"/>
      <c r="B129" s="74"/>
      <c r="C129" s="99"/>
      <c r="D129" s="75">
        <f t="shared" si="28"/>
        <v>0</v>
      </c>
      <c r="E129" s="75"/>
      <c r="F129" s="76">
        <f t="shared" si="29"/>
        <v>0</v>
      </c>
      <c r="G129" s="77">
        <f t="shared" si="30"/>
        <v>0</v>
      </c>
      <c r="H129" s="79">
        <f t="shared" si="31"/>
        <v>0</v>
      </c>
      <c r="I129" s="78">
        <f t="shared" si="32"/>
        <v>0</v>
      </c>
      <c r="J129" s="78">
        <f t="shared" si="33"/>
        <v>0</v>
      </c>
      <c r="Q129">
        <f t="shared" si="18"/>
        <v>0</v>
      </c>
    </row>
    <row r="130" spans="1:17" ht="12.75">
      <c r="A130" s="73"/>
      <c r="B130" s="74"/>
      <c r="C130" s="99"/>
      <c r="D130" s="75">
        <f t="shared" si="28"/>
        <v>0</v>
      </c>
      <c r="E130" s="75"/>
      <c r="F130" s="76">
        <f t="shared" si="29"/>
        <v>0</v>
      </c>
      <c r="G130" s="77">
        <f t="shared" si="30"/>
        <v>0</v>
      </c>
      <c r="H130" s="79">
        <f t="shared" si="31"/>
        <v>0</v>
      </c>
      <c r="I130" s="78">
        <f t="shared" si="32"/>
        <v>0</v>
      </c>
      <c r="J130" s="78">
        <f t="shared" si="33"/>
        <v>0</v>
      </c>
      <c r="Q130">
        <f t="shared" si="18"/>
        <v>0</v>
      </c>
    </row>
    <row r="131" spans="1:17" ht="12.75">
      <c r="A131" s="73"/>
      <c r="B131" s="74"/>
      <c r="C131" s="99"/>
      <c r="D131" s="75">
        <f t="shared" si="28"/>
        <v>0</v>
      </c>
      <c r="E131" s="75"/>
      <c r="F131" s="76">
        <f t="shared" si="29"/>
        <v>0</v>
      </c>
      <c r="G131" s="77">
        <f t="shared" si="30"/>
        <v>0</v>
      </c>
      <c r="H131" s="79">
        <f t="shared" si="31"/>
        <v>0</v>
      </c>
      <c r="I131" s="78">
        <f t="shared" si="32"/>
        <v>0</v>
      </c>
      <c r="J131" s="78">
        <f t="shared" si="33"/>
        <v>0</v>
      </c>
      <c r="Q131">
        <f t="shared" si="18"/>
        <v>0</v>
      </c>
    </row>
    <row r="132" spans="1:17" ht="12.75">
      <c r="A132" s="73"/>
      <c r="B132" s="74"/>
      <c r="C132" s="99"/>
      <c r="D132" s="75">
        <f t="shared" si="28"/>
        <v>0</v>
      </c>
      <c r="E132" s="75"/>
      <c r="F132" s="76">
        <f t="shared" si="29"/>
        <v>0</v>
      </c>
      <c r="G132" s="77">
        <f t="shared" si="30"/>
        <v>0</v>
      </c>
      <c r="H132" s="79">
        <f t="shared" si="31"/>
        <v>0</v>
      </c>
      <c r="I132" s="78">
        <f t="shared" si="32"/>
        <v>0</v>
      </c>
      <c r="J132" s="78">
        <f t="shared" si="33"/>
        <v>0</v>
      </c>
      <c r="Q132">
        <f t="shared" si="18"/>
        <v>0</v>
      </c>
    </row>
    <row r="133" spans="1:17" ht="12.75">
      <c r="A133" s="73"/>
      <c r="B133" s="74"/>
      <c r="C133" s="99"/>
      <c r="D133" s="75">
        <f t="shared" si="28"/>
        <v>0</v>
      </c>
      <c r="E133" s="75"/>
      <c r="F133" s="76">
        <f t="shared" si="29"/>
        <v>0</v>
      </c>
      <c r="G133" s="77">
        <f t="shared" si="30"/>
        <v>0</v>
      </c>
      <c r="H133" s="79">
        <f t="shared" si="31"/>
        <v>0</v>
      </c>
      <c r="I133" s="78">
        <f t="shared" si="32"/>
        <v>0</v>
      </c>
      <c r="J133" s="78">
        <f t="shared" si="33"/>
        <v>0</v>
      </c>
      <c r="Q133">
        <f t="shared" si="18"/>
        <v>0</v>
      </c>
    </row>
    <row r="134" spans="1:17" ht="12.75">
      <c r="A134" s="73"/>
      <c r="B134" s="74"/>
      <c r="C134" s="99"/>
      <c r="D134" s="75">
        <f t="shared" si="28"/>
        <v>0</v>
      </c>
      <c r="E134" s="75"/>
      <c r="F134" s="76">
        <f t="shared" si="29"/>
        <v>0</v>
      </c>
      <c r="G134" s="77">
        <f t="shared" si="30"/>
        <v>0</v>
      </c>
      <c r="H134" s="79">
        <f t="shared" si="31"/>
        <v>0</v>
      </c>
      <c r="I134" s="78">
        <f t="shared" si="32"/>
        <v>0</v>
      </c>
      <c r="J134" s="78">
        <f t="shared" si="33"/>
        <v>0</v>
      </c>
      <c r="Q134">
        <f t="shared" si="18"/>
        <v>0</v>
      </c>
    </row>
    <row r="135" spans="1:17" ht="12.75">
      <c r="A135" s="73"/>
      <c r="B135" s="74"/>
      <c r="C135" s="99"/>
      <c r="D135" s="75">
        <f t="shared" si="28"/>
        <v>0</v>
      </c>
      <c r="E135" s="75"/>
      <c r="F135" s="76">
        <f t="shared" si="29"/>
        <v>0</v>
      </c>
      <c r="G135" s="77">
        <f t="shared" si="30"/>
        <v>0</v>
      </c>
      <c r="H135" s="79">
        <f t="shared" si="31"/>
        <v>0</v>
      </c>
      <c r="I135" s="78">
        <f t="shared" si="32"/>
        <v>0</v>
      </c>
      <c r="J135" s="78">
        <f t="shared" si="33"/>
        <v>0</v>
      </c>
      <c r="Q135">
        <f t="shared" si="18"/>
        <v>0</v>
      </c>
    </row>
    <row r="136" spans="1:17" ht="12.75">
      <c r="A136" s="73"/>
      <c r="B136" s="74"/>
      <c r="C136" s="99"/>
      <c r="D136" s="75">
        <f t="shared" si="28"/>
        <v>0</v>
      </c>
      <c r="E136" s="75"/>
      <c r="F136" s="76">
        <f t="shared" si="29"/>
        <v>0</v>
      </c>
      <c r="G136" s="77">
        <f t="shared" si="30"/>
        <v>0</v>
      </c>
      <c r="H136" s="79">
        <f t="shared" si="31"/>
        <v>0</v>
      </c>
      <c r="I136" s="78">
        <f t="shared" si="32"/>
        <v>0</v>
      </c>
      <c r="J136" s="78">
        <f t="shared" si="33"/>
        <v>0</v>
      </c>
      <c r="Q136">
        <f t="shared" si="18"/>
        <v>0</v>
      </c>
    </row>
    <row r="137" spans="1:17" ht="12.75">
      <c r="A137" s="73"/>
      <c r="B137" s="74"/>
      <c r="C137" s="99"/>
      <c r="D137" s="75">
        <f t="shared" si="28"/>
        <v>0</v>
      </c>
      <c r="E137" s="75"/>
      <c r="F137" s="76">
        <f t="shared" si="29"/>
        <v>0</v>
      </c>
      <c r="G137" s="77">
        <f t="shared" si="30"/>
        <v>0</v>
      </c>
      <c r="H137" s="79">
        <f t="shared" si="31"/>
        <v>0</v>
      </c>
      <c r="I137" s="78">
        <f t="shared" si="32"/>
        <v>0</v>
      </c>
      <c r="J137" s="78">
        <f t="shared" si="33"/>
        <v>0</v>
      </c>
      <c r="Q137">
        <f t="shared" si="18"/>
        <v>0</v>
      </c>
    </row>
    <row r="138" spans="1:17" ht="12.75">
      <c r="A138" s="73"/>
      <c r="B138" s="74"/>
      <c r="C138" s="99"/>
      <c r="D138" s="75">
        <f aca="true" t="shared" si="34" ref="D138:D147">B138*C138</f>
        <v>0</v>
      </c>
      <c r="E138" s="75"/>
      <c r="F138" s="76">
        <f aca="true" t="shared" si="35" ref="F138:F147">IF(E139&gt;0,E139-E138,0)</f>
        <v>0</v>
      </c>
      <c r="G138" s="77">
        <f aca="true" t="shared" si="36" ref="G138:G147">IF(F138&gt;0,B138/F138*100,0)</f>
        <v>0</v>
      </c>
      <c r="H138" s="79">
        <f aca="true" t="shared" si="37" ref="H138:H147">IF(F138&gt;0,D138/F138,0)</f>
        <v>0</v>
      </c>
      <c r="I138" s="78">
        <f aca="true" t="shared" si="38" ref="I138:I147">IF(F138&gt;0,A139-A138,0)</f>
        <v>0</v>
      </c>
      <c r="J138" s="78">
        <f aca="true" t="shared" si="39" ref="J138:J147">IF(F138&gt;0,F138/I138,0)</f>
        <v>0</v>
      </c>
      <c r="Q138">
        <f t="shared" si="18"/>
        <v>0</v>
      </c>
    </row>
    <row r="139" spans="1:17" ht="12.75">
      <c r="A139" s="73"/>
      <c r="B139" s="74"/>
      <c r="C139" s="99"/>
      <c r="D139" s="75">
        <f t="shared" si="34"/>
        <v>0</v>
      </c>
      <c r="E139" s="75"/>
      <c r="F139" s="76">
        <f t="shared" si="35"/>
        <v>0</v>
      </c>
      <c r="G139" s="77">
        <f t="shared" si="36"/>
        <v>0</v>
      </c>
      <c r="H139" s="79">
        <f t="shared" si="37"/>
        <v>0</v>
      </c>
      <c r="I139" s="78">
        <f t="shared" si="38"/>
        <v>0</v>
      </c>
      <c r="J139" s="78">
        <f t="shared" si="39"/>
        <v>0</v>
      </c>
      <c r="Q139">
        <f t="shared" si="18"/>
        <v>0</v>
      </c>
    </row>
    <row r="140" spans="1:17" ht="12.75">
      <c r="A140" s="73"/>
      <c r="B140" s="74"/>
      <c r="C140" s="99"/>
      <c r="D140" s="75">
        <f t="shared" si="34"/>
        <v>0</v>
      </c>
      <c r="E140" s="75"/>
      <c r="F140" s="76">
        <f t="shared" si="35"/>
        <v>0</v>
      </c>
      <c r="G140" s="77">
        <f t="shared" si="36"/>
        <v>0</v>
      </c>
      <c r="H140" s="79">
        <f t="shared" si="37"/>
        <v>0</v>
      </c>
      <c r="I140" s="78">
        <f t="shared" si="38"/>
        <v>0</v>
      </c>
      <c r="J140" s="78">
        <f t="shared" si="39"/>
        <v>0</v>
      </c>
      <c r="Q140">
        <f t="shared" si="18"/>
        <v>0</v>
      </c>
    </row>
    <row r="141" spans="1:17" ht="12.75">
      <c r="A141" s="73"/>
      <c r="B141" s="74"/>
      <c r="C141" s="99"/>
      <c r="D141" s="75">
        <f t="shared" si="34"/>
        <v>0</v>
      </c>
      <c r="E141" s="75"/>
      <c r="F141" s="76">
        <f t="shared" si="35"/>
        <v>0</v>
      </c>
      <c r="G141" s="77">
        <f t="shared" si="36"/>
        <v>0</v>
      </c>
      <c r="H141" s="79">
        <f t="shared" si="37"/>
        <v>0</v>
      </c>
      <c r="I141" s="78">
        <f t="shared" si="38"/>
        <v>0</v>
      </c>
      <c r="J141" s="78">
        <f t="shared" si="39"/>
        <v>0</v>
      </c>
      <c r="Q141">
        <f t="shared" si="18"/>
        <v>0</v>
      </c>
    </row>
    <row r="142" spans="1:17" ht="12.75">
      <c r="A142" s="73"/>
      <c r="B142" s="74"/>
      <c r="C142" s="99"/>
      <c r="D142" s="75">
        <f t="shared" si="34"/>
        <v>0</v>
      </c>
      <c r="E142" s="75"/>
      <c r="F142" s="76">
        <f t="shared" si="35"/>
        <v>0</v>
      </c>
      <c r="G142" s="77">
        <f t="shared" si="36"/>
        <v>0</v>
      </c>
      <c r="H142" s="79">
        <f t="shared" si="37"/>
        <v>0</v>
      </c>
      <c r="I142" s="78">
        <f t="shared" si="38"/>
        <v>0</v>
      </c>
      <c r="J142" s="78">
        <f t="shared" si="39"/>
        <v>0</v>
      </c>
      <c r="Q142">
        <f t="shared" si="18"/>
        <v>0</v>
      </c>
    </row>
    <row r="143" spans="1:17" ht="12.75">
      <c r="A143" s="73"/>
      <c r="B143" s="74"/>
      <c r="C143" s="99"/>
      <c r="D143" s="75">
        <f t="shared" si="34"/>
        <v>0</v>
      </c>
      <c r="E143" s="75"/>
      <c r="F143" s="76">
        <f t="shared" si="35"/>
        <v>0</v>
      </c>
      <c r="G143" s="77">
        <f t="shared" si="36"/>
        <v>0</v>
      </c>
      <c r="H143" s="79">
        <f t="shared" si="37"/>
        <v>0</v>
      </c>
      <c r="I143" s="78">
        <f t="shared" si="38"/>
        <v>0</v>
      </c>
      <c r="J143" s="78">
        <f t="shared" si="39"/>
        <v>0</v>
      </c>
      <c r="Q143">
        <f t="shared" si="18"/>
        <v>0</v>
      </c>
    </row>
    <row r="144" spans="1:17" ht="12.75">
      <c r="A144" s="73"/>
      <c r="B144" s="74"/>
      <c r="C144" s="99"/>
      <c r="D144" s="75">
        <f t="shared" si="34"/>
        <v>0</v>
      </c>
      <c r="E144" s="75"/>
      <c r="F144" s="76">
        <f t="shared" si="35"/>
        <v>0</v>
      </c>
      <c r="G144" s="77">
        <f t="shared" si="36"/>
        <v>0</v>
      </c>
      <c r="H144" s="79">
        <f t="shared" si="37"/>
        <v>0</v>
      </c>
      <c r="I144" s="78">
        <f t="shared" si="38"/>
        <v>0</v>
      </c>
      <c r="J144" s="78">
        <f t="shared" si="39"/>
        <v>0</v>
      </c>
      <c r="Q144">
        <f t="shared" si="18"/>
        <v>0</v>
      </c>
    </row>
    <row r="145" spans="1:17" ht="12.75">
      <c r="A145" s="73"/>
      <c r="B145" s="74"/>
      <c r="C145" s="99"/>
      <c r="D145" s="75">
        <f t="shared" si="34"/>
        <v>0</v>
      </c>
      <c r="E145" s="75"/>
      <c r="F145" s="76">
        <f t="shared" si="35"/>
        <v>0</v>
      </c>
      <c r="G145" s="77">
        <f t="shared" si="36"/>
        <v>0</v>
      </c>
      <c r="H145" s="79">
        <f t="shared" si="37"/>
        <v>0</v>
      </c>
      <c r="I145" s="78">
        <f t="shared" si="38"/>
        <v>0</v>
      </c>
      <c r="J145" s="78">
        <f t="shared" si="39"/>
        <v>0</v>
      </c>
      <c r="Q145">
        <f t="shared" si="18"/>
        <v>0</v>
      </c>
    </row>
    <row r="146" spans="1:17" ht="12.75">
      <c r="A146" s="73"/>
      <c r="B146" s="74"/>
      <c r="C146" s="99"/>
      <c r="D146" s="75">
        <f t="shared" si="34"/>
        <v>0</v>
      </c>
      <c r="E146" s="75"/>
      <c r="F146" s="76">
        <f t="shared" si="35"/>
        <v>0</v>
      </c>
      <c r="G146" s="77">
        <f t="shared" si="36"/>
        <v>0</v>
      </c>
      <c r="H146" s="79">
        <f t="shared" si="37"/>
        <v>0</v>
      </c>
      <c r="I146" s="78">
        <f t="shared" si="38"/>
        <v>0</v>
      </c>
      <c r="J146" s="78">
        <f t="shared" si="39"/>
        <v>0</v>
      </c>
      <c r="Q146">
        <f t="shared" si="18"/>
        <v>0</v>
      </c>
    </row>
    <row r="147" spans="1:17" ht="12.75">
      <c r="A147" s="73"/>
      <c r="B147" s="74"/>
      <c r="C147" s="99"/>
      <c r="D147" s="75">
        <f t="shared" si="34"/>
        <v>0</v>
      </c>
      <c r="E147" s="75"/>
      <c r="F147" s="76">
        <f t="shared" si="35"/>
        <v>0</v>
      </c>
      <c r="G147" s="77">
        <f t="shared" si="36"/>
        <v>0</v>
      </c>
      <c r="H147" s="79">
        <f t="shared" si="37"/>
        <v>0</v>
      </c>
      <c r="I147" s="78">
        <f t="shared" si="38"/>
        <v>0</v>
      </c>
      <c r="J147" s="78">
        <f t="shared" si="39"/>
        <v>0</v>
      </c>
      <c r="Q147">
        <f t="shared" si="18"/>
        <v>0</v>
      </c>
    </row>
    <row r="148" spans="1:17" ht="12.75">
      <c r="A148" s="73"/>
      <c r="B148" s="74"/>
      <c r="C148" s="99"/>
      <c r="D148" s="75">
        <f aca="true" t="shared" si="40" ref="D148:D228">B148*C148</f>
        <v>0</v>
      </c>
      <c r="E148" s="75"/>
      <c r="F148" s="76">
        <f aca="true" t="shared" si="41" ref="F148:F163">IF(E149&gt;0,E149-E148,0)</f>
        <v>0</v>
      </c>
      <c r="G148" s="77">
        <f aca="true" t="shared" si="42" ref="G148:G163">IF(F148&gt;0,B148/F148*100,0)</f>
        <v>0</v>
      </c>
      <c r="H148" s="79">
        <f aca="true" t="shared" si="43" ref="H148:H163">IF(F148&gt;0,D148/F148,0)</f>
        <v>0</v>
      </c>
      <c r="I148" s="78">
        <f aca="true" t="shared" si="44" ref="I148:I163">IF(F148&gt;0,A149-A148,0)</f>
        <v>0</v>
      </c>
      <c r="J148" s="78">
        <f aca="true" t="shared" si="45" ref="J148:J163">IF(F148&gt;0,F148/I148,0)</f>
        <v>0</v>
      </c>
      <c r="Q148">
        <f t="shared" si="18"/>
        <v>0</v>
      </c>
    </row>
    <row r="149" spans="1:17" ht="12.75">
      <c r="A149" s="73"/>
      <c r="B149" s="74"/>
      <c r="C149" s="99"/>
      <c r="D149" s="75">
        <f t="shared" si="40"/>
        <v>0</v>
      </c>
      <c r="E149" s="75"/>
      <c r="F149" s="76">
        <f t="shared" si="41"/>
        <v>0</v>
      </c>
      <c r="G149" s="77">
        <f t="shared" si="42"/>
        <v>0</v>
      </c>
      <c r="H149" s="79">
        <f t="shared" si="43"/>
        <v>0</v>
      </c>
      <c r="I149" s="78">
        <f t="shared" si="44"/>
        <v>0</v>
      </c>
      <c r="J149" s="78">
        <f t="shared" si="45"/>
        <v>0</v>
      </c>
      <c r="Q149">
        <f aca="true" t="shared" si="46" ref="Q149:Q247">IF(F149=0,0,CONCATENATE(TEXT(YEAR(A149),0),TEXT(MONTH(A149),0)))</f>
        <v>0</v>
      </c>
    </row>
    <row r="150" spans="1:17" ht="12.75">
      <c r="A150" s="73"/>
      <c r="B150" s="74"/>
      <c r="C150" s="99"/>
      <c r="D150" s="75">
        <f t="shared" si="40"/>
        <v>0</v>
      </c>
      <c r="E150" s="75"/>
      <c r="F150" s="76">
        <f t="shared" si="41"/>
        <v>0</v>
      </c>
      <c r="G150" s="77">
        <f t="shared" si="42"/>
        <v>0</v>
      </c>
      <c r="H150" s="79">
        <f t="shared" si="43"/>
        <v>0</v>
      </c>
      <c r="I150" s="78">
        <f t="shared" si="44"/>
        <v>0</v>
      </c>
      <c r="J150" s="78">
        <f t="shared" si="45"/>
        <v>0</v>
      </c>
      <c r="Q150">
        <f t="shared" si="46"/>
        <v>0</v>
      </c>
    </row>
    <row r="151" spans="1:17" ht="12.75">
      <c r="A151" s="73"/>
      <c r="B151" s="74"/>
      <c r="C151" s="99"/>
      <c r="D151" s="75">
        <f t="shared" si="40"/>
        <v>0</v>
      </c>
      <c r="E151" s="75"/>
      <c r="F151" s="76">
        <f t="shared" si="41"/>
        <v>0</v>
      </c>
      <c r="G151" s="77">
        <f t="shared" si="42"/>
        <v>0</v>
      </c>
      <c r="H151" s="79">
        <f t="shared" si="43"/>
        <v>0</v>
      </c>
      <c r="I151" s="78">
        <f t="shared" si="44"/>
        <v>0</v>
      </c>
      <c r="J151" s="78">
        <f t="shared" si="45"/>
        <v>0</v>
      </c>
      <c r="Q151">
        <f t="shared" si="46"/>
        <v>0</v>
      </c>
    </row>
    <row r="152" spans="1:17" ht="12.75">
      <c r="A152" s="73"/>
      <c r="B152" s="74"/>
      <c r="C152" s="99"/>
      <c r="D152" s="75">
        <f t="shared" si="40"/>
        <v>0</v>
      </c>
      <c r="E152" s="75"/>
      <c r="F152" s="76">
        <f t="shared" si="41"/>
        <v>0</v>
      </c>
      <c r="G152" s="77">
        <f t="shared" si="42"/>
        <v>0</v>
      </c>
      <c r="H152" s="79">
        <f t="shared" si="43"/>
        <v>0</v>
      </c>
      <c r="I152" s="78">
        <f t="shared" si="44"/>
        <v>0</v>
      </c>
      <c r="J152" s="78">
        <f t="shared" si="45"/>
        <v>0</v>
      </c>
      <c r="Q152">
        <f t="shared" si="46"/>
        <v>0</v>
      </c>
    </row>
    <row r="153" spans="1:17" ht="12.75">
      <c r="A153" s="73"/>
      <c r="B153" s="74"/>
      <c r="C153" s="99"/>
      <c r="D153" s="75">
        <f t="shared" si="40"/>
        <v>0</v>
      </c>
      <c r="E153" s="75"/>
      <c r="F153" s="76">
        <f t="shared" si="41"/>
        <v>0</v>
      </c>
      <c r="G153" s="77">
        <f t="shared" si="42"/>
        <v>0</v>
      </c>
      <c r="H153" s="79">
        <f t="shared" si="43"/>
        <v>0</v>
      </c>
      <c r="I153" s="78">
        <f t="shared" si="44"/>
        <v>0</v>
      </c>
      <c r="J153" s="78">
        <f t="shared" si="45"/>
        <v>0</v>
      </c>
      <c r="Q153">
        <f t="shared" si="46"/>
        <v>0</v>
      </c>
    </row>
    <row r="154" spans="1:17" ht="12.75">
      <c r="A154" s="73"/>
      <c r="B154" s="74"/>
      <c r="C154" s="99"/>
      <c r="D154" s="75">
        <f t="shared" si="40"/>
        <v>0</v>
      </c>
      <c r="E154" s="75"/>
      <c r="F154" s="76">
        <f t="shared" si="41"/>
        <v>0</v>
      </c>
      <c r="G154" s="77">
        <f t="shared" si="42"/>
        <v>0</v>
      </c>
      <c r="H154" s="79">
        <f t="shared" si="43"/>
        <v>0</v>
      </c>
      <c r="I154" s="78">
        <f t="shared" si="44"/>
        <v>0</v>
      </c>
      <c r="J154" s="78">
        <f t="shared" si="45"/>
        <v>0</v>
      </c>
      <c r="Q154">
        <f t="shared" si="46"/>
        <v>0</v>
      </c>
    </row>
    <row r="155" spans="1:17" ht="12.75">
      <c r="A155" s="73"/>
      <c r="B155" s="74"/>
      <c r="C155" s="99"/>
      <c r="D155" s="75">
        <f t="shared" si="40"/>
        <v>0</v>
      </c>
      <c r="E155" s="75"/>
      <c r="F155" s="76">
        <f t="shared" si="41"/>
        <v>0</v>
      </c>
      <c r="G155" s="77">
        <f t="shared" si="42"/>
        <v>0</v>
      </c>
      <c r="H155" s="79">
        <f t="shared" si="43"/>
        <v>0</v>
      </c>
      <c r="I155" s="78">
        <f t="shared" si="44"/>
        <v>0</v>
      </c>
      <c r="J155" s="78">
        <f t="shared" si="45"/>
        <v>0</v>
      </c>
      <c r="Q155">
        <f t="shared" si="46"/>
        <v>0</v>
      </c>
    </row>
    <row r="156" spans="1:17" ht="12.75">
      <c r="A156" s="73"/>
      <c r="B156" s="74"/>
      <c r="C156" s="99"/>
      <c r="D156" s="75">
        <f t="shared" si="40"/>
        <v>0</v>
      </c>
      <c r="E156" s="75"/>
      <c r="F156" s="76">
        <f t="shared" si="41"/>
        <v>0</v>
      </c>
      <c r="G156" s="77">
        <f t="shared" si="42"/>
        <v>0</v>
      </c>
      <c r="H156" s="79">
        <f t="shared" si="43"/>
        <v>0</v>
      </c>
      <c r="I156" s="78">
        <f t="shared" si="44"/>
        <v>0</v>
      </c>
      <c r="J156" s="78">
        <f t="shared" si="45"/>
        <v>0</v>
      </c>
      <c r="Q156">
        <f t="shared" si="46"/>
        <v>0</v>
      </c>
    </row>
    <row r="157" spans="1:17" ht="12.75">
      <c r="A157" s="73"/>
      <c r="B157" s="74"/>
      <c r="C157" s="99"/>
      <c r="D157" s="75">
        <f t="shared" si="40"/>
        <v>0</v>
      </c>
      <c r="E157" s="75"/>
      <c r="F157" s="76">
        <f t="shared" si="41"/>
        <v>0</v>
      </c>
      <c r="G157" s="77">
        <f t="shared" si="42"/>
        <v>0</v>
      </c>
      <c r="H157" s="79">
        <f t="shared" si="43"/>
        <v>0</v>
      </c>
      <c r="I157" s="78">
        <f t="shared" si="44"/>
        <v>0</v>
      </c>
      <c r="J157" s="78">
        <f t="shared" si="45"/>
        <v>0</v>
      </c>
      <c r="Q157">
        <f t="shared" si="46"/>
        <v>0</v>
      </c>
    </row>
    <row r="158" spans="1:17" ht="12.75">
      <c r="A158" s="73"/>
      <c r="B158" s="74"/>
      <c r="C158" s="99"/>
      <c r="D158" s="75">
        <f t="shared" si="40"/>
        <v>0</v>
      </c>
      <c r="E158" s="75"/>
      <c r="F158" s="76">
        <f t="shared" si="41"/>
        <v>0</v>
      </c>
      <c r="G158" s="77">
        <f t="shared" si="42"/>
        <v>0</v>
      </c>
      <c r="H158" s="79">
        <f t="shared" si="43"/>
        <v>0</v>
      </c>
      <c r="I158" s="78">
        <f t="shared" si="44"/>
        <v>0</v>
      </c>
      <c r="J158" s="78">
        <f t="shared" si="45"/>
        <v>0</v>
      </c>
      <c r="Q158">
        <f t="shared" si="46"/>
        <v>0</v>
      </c>
    </row>
    <row r="159" spans="1:17" ht="12.75">
      <c r="A159" s="73"/>
      <c r="B159" s="74"/>
      <c r="C159" s="99"/>
      <c r="D159" s="75">
        <f t="shared" si="40"/>
        <v>0</v>
      </c>
      <c r="E159" s="75"/>
      <c r="F159" s="76">
        <f t="shared" si="41"/>
        <v>0</v>
      </c>
      <c r="G159" s="77">
        <f t="shared" si="42"/>
        <v>0</v>
      </c>
      <c r="H159" s="79">
        <f t="shared" si="43"/>
        <v>0</v>
      </c>
      <c r="I159" s="78">
        <f t="shared" si="44"/>
        <v>0</v>
      </c>
      <c r="J159" s="78">
        <f t="shared" si="45"/>
        <v>0</v>
      </c>
      <c r="Q159">
        <f t="shared" si="46"/>
        <v>0</v>
      </c>
    </row>
    <row r="160" spans="1:17" ht="12.75">
      <c r="A160" s="73"/>
      <c r="B160" s="74"/>
      <c r="C160" s="99"/>
      <c r="D160" s="75">
        <f t="shared" si="40"/>
        <v>0</v>
      </c>
      <c r="E160" s="75"/>
      <c r="F160" s="76">
        <f t="shared" si="41"/>
        <v>0</v>
      </c>
      <c r="G160" s="77">
        <f t="shared" si="42"/>
        <v>0</v>
      </c>
      <c r="H160" s="79">
        <f t="shared" si="43"/>
        <v>0</v>
      </c>
      <c r="I160" s="78">
        <f t="shared" si="44"/>
        <v>0</v>
      </c>
      <c r="J160" s="78">
        <f t="shared" si="45"/>
        <v>0</v>
      </c>
      <c r="Q160">
        <f t="shared" si="46"/>
        <v>0</v>
      </c>
    </row>
    <row r="161" spans="1:17" ht="12.75">
      <c r="A161" s="73"/>
      <c r="B161" s="74"/>
      <c r="C161" s="99"/>
      <c r="D161" s="75">
        <f t="shared" si="40"/>
        <v>0</v>
      </c>
      <c r="E161" s="75"/>
      <c r="F161" s="76">
        <f t="shared" si="41"/>
        <v>0</v>
      </c>
      <c r="G161" s="77">
        <f t="shared" si="42"/>
        <v>0</v>
      </c>
      <c r="H161" s="79">
        <f t="shared" si="43"/>
        <v>0</v>
      </c>
      <c r="I161" s="78">
        <f t="shared" si="44"/>
        <v>0</v>
      </c>
      <c r="J161" s="78">
        <f t="shared" si="45"/>
        <v>0</v>
      </c>
      <c r="Q161">
        <f t="shared" si="46"/>
        <v>0</v>
      </c>
    </row>
    <row r="162" spans="1:17" ht="12.75">
      <c r="A162" s="73"/>
      <c r="B162" s="74"/>
      <c r="C162" s="99"/>
      <c r="D162" s="75">
        <f t="shared" si="40"/>
        <v>0</v>
      </c>
      <c r="E162" s="75"/>
      <c r="F162" s="76">
        <f t="shared" si="41"/>
        <v>0</v>
      </c>
      <c r="G162" s="77">
        <f t="shared" si="42"/>
        <v>0</v>
      </c>
      <c r="H162" s="79">
        <f t="shared" si="43"/>
        <v>0</v>
      </c>
      <c r="I162" s="78">
        <f t="shared" si="44"/>
        <v>0</v>
      </c>
      <c r="J162" s="78">
        <f t="shared" si="45"/>
        <v>0</v>
      </c>
      <c r="Q162">
        <f t="shared" si="46"/>
        <v>0</v>
      </c>
    </row>
    <row r="163" spans="1:17" ht="12.75">
      <c r="A163" s="73"/>
      <c r="B163" s="74"/>
      <c r="C163" s="99"/>
      <c r="D163" s="75">
        <f t="shared" si="40"/>
        <v>0</v>
      </c>
      <c r="E163" s="75"/>
      <c r="F163" s="76">
        <f t="shared" si="41"/>
        <v>0</v>
      </c>
      <c r="G163" s="77">
        <f t="shared" si="42"/>
        <v>0</v>
      </c>
      <c r="H163" s="79">
        <f t="shared" si="43"/>
        <v>0</v>
      </c>
      <c r="I163" s="78">
        <f t="shared" si="44"/>
        <v>0</v>
      </c>
      <c r="J163" s="78">
        <f t="shared" si="45"/>
        <v>0</v>
      </c>
      <c r="Q163">
        <f t="shared" si="46"/>
        <v>0</v>
      </c>
    </row>
    <row r="164" spans="1:17" ht="12.75">
      <c r="A164" s="73"/>
      <c r="B164" s="74"/>
      <c r="C164" s="99"/>
      <c r="D164" s="75">
        <f t="shared" si="40"/>
        <v>0</v>
      </c>
      <c r="E164" s="75"/>
      <c r="F164" s="76">
        <f aca="true" t="shared" si="47" ref="F164:F171">IF(E165&gt;0,E165-E164,0)</f>
        <v>0</v>
      </c>
      <c r="G164" s="77">
        <f aca="true" t="shared" si="48" ref="G164:G171">IF(F164&gt;0,B164/F164*100,0)</f>
        <v>0</v>
      </c>
      <c r="H164" s="79">
        <f aca="true" t="shared" si="49" ref="H164:H171">IF(F164&gt;0,D164/F164,0)</f>
        <v>0</v>
      </c>
      <c r="I164" s="78">
        <f aca="true" t="shared" si="50" ref="I164:I171">IF(F164&gt;0,A165-A164,0)</f>
        <v>0</v>
      </c>
      <c r="J164" s="78">
        <f aca="true" t="shared" si="51" ref="J164:J171">IF(F164&gt;0,F164/I164,0)</f>
        <v>0</v>
      </c>
      <c r="Q164">
        <f t="shared" si="46"/>
        <v>0</v>
      </c>
    </row>
    <row r="165" spans="1:17" ht="12.75">
      <c r="A165" s="73"/>
      <c r="B165" s="74"/>
      <c r="C165" s="99"/>
      <c r="D165" s="75">
        <f t="shared" si="40"/>
        <v>0</v>
      </c>
      <c r="E165" s="75"/>
      <c r="F165" s="76">
        <f t="shared" si="47"/>
        <v>0</v>
      </c>
      <c r="G165" s="77">
        <f t="shared" si="48"/>
        <v>0</v>
      </c>
      <c r="H165" s="79">
        <f t="shared" si="49"/>
        <v>0</v>
      </c>
      <c r="I165" s="78">
        <f t="shared" si="50"/>
        <v>0</v>
      </c>
      <c r="J165" s="78">
        <f t="shared" si="51"/>
        <v>0</v>
      </c>
      <c r="Q165">
        <f t="shared" si="46"/>
        <v>0</v>
      </c>
    </row>
    <row r="166" spans="1:17" ht="12.75">
      <c r="A166" s="73"/>
      <c r="B166" s="74"/>
      <c r="C166" s="99"/>
      <c r="D166" s="75">
        <f t="shared" si="40"/>
        <v>0</v>
      </c>
      <c r="E166" s="75"/>
      <c r="F166" s="76">
        <f t="shared" si="47"/>
        <v>0</v>
      </c>
      <c r="G166" s="77">
        <f t="shared" si="48"/>
        <v>0</v>
      </c>
      <c r="H166" s="79">
        <f t="shared" si="49"/>
        <v>0</v>
      </c>
      <c r="I166" s="78">
        <f t="shared" si="50"/>
        <v>0</v>
      </c>
      <c r="J166" s="78">
        <f t="shared" si="51"/>
        <v>0</v>
      </c>
      <c r="Q166">
        <f t="shared" si="46"/>
        <v>0</v>
      </c>
    </row>
    <row r="167" spans="1:17" ht="12.75">
      <c r="A167" s="73"/>
      <c r="B167" s="74"/>
      <c r="C167" s="99"/>
      <c r="D167" s="75">
        <f t="shared" si="40"/>
        <v>0</v>
      </c>
      <c r="E167" s="75"/>
      <c r="F167" s="76">
        <f t="shared" si="47"/>
        <v>0</v>
      </c>
      <c r="G167" s="77">
        <f t="shared" si="48"/>
        <v>0</v>
      </c>
      <c r="H167" s="79">
        <f t="shared" si="49"/>
        <v>0</v>
      </c>
      <c r="I167" s="78">
        <f t="shared" si="50"/>
        <v>0</v>
      </c>
      <c r="J167" s="78">
        <f t="shared" si="51"/>
        <v>0</v>
      </c>
      <c r="Q167">
        <f t="shared" si="46"/>
        <v>0</v>
      </c>
    </row>
    <row r="168" spans="1:17" ht="12.75">
      <c r="A168" s="73"/>
      <c r="B168" s="74"/>
      <c r="C168" s="99"/>
      <c r="D168" s="75">
        <f t="shared" si="40"/>
        <v>0</v>
      </c>
      <c r="E168" s="75"/>
      <c r="F168" s="76">
        <f t="shared" si="47"/>
        <v>0</v>
      </c>
      <c r="G168" s="77">
        <f t="shared" si="48"/>
        <v>0</v>
      </c>
      <c r="H168" s="79">
        <f t="shared" si="49"/>
        <v>0</v>
      </c>
      <c r="I168" s="78">
        <f t="shared" si="50"/>
        <v>0</v>
      </c>
      <c r="J168" s="78">
        <f t="shared" si="51"/>
        <v>0</v>
      </c>
      <c r="Q168">
        <f t="shared" si="46"/>
        <v>0</v>
      </c>
    </row>
    <row r="169" spans="1:17" ht="12.75">
      <c r="A169" s="73"/>
      <c r="B169" s="74"/>
      <c r="C169" s="99"/>
      <c r="D169" s="75">
        <f t="shared" si="40"/>
        <v>0</v>
      </c>
      <c r="E169" s="75"/>
      <c r="F169" s="76">
        <f t="shared" si="47"/>
        <v>0</v>
      </c>
      <c r="G169" s="77">
        <f t="shared" si="48"/>
        <v>0</v>
      </c>
      <c r="H169" s="79">
        <f t="shared" si="49"/>
        <v>0</v>
      </c>
      <c r="I169" s="78">
        <f t="shared" si="50"/>
        <v>0</v>
      </c>
      <c r="J169" s="78">
        <f t="shared" si="51"/>
        <v>0</v>
      </c>
      <c r="Q169">
        <f t="shared" si="46"/>
        <v>0</v>
      </c>
    </row>
    <row r="170" spans="1:17" ht="12.75">
      <c r="A170" s="73"/>
      <c r="B170" s="74"/>
      <c r="C170" s="99"/>
      <c r="D170" s="75">
        <f t="shared" si="40"/>
        <v>0</v>
      </c>
      <c r="E170" s="75"/>
      <c r="F170" s="76">
        <f t="shared" si="47"/>
        <v>0</v>
      </c>
      <c r="G170" s="77">
        <f t="shared" si="48"/>
        <v>0</v>
      </c>
      <c r="H170" s="79">
        <f t="shared" si="49"/>
        <v>0</v>
      </c>
      <c r="I170" s="78">
        <f t="shared" si="50"/>
        <v>0</v>
      </c>
      <c r="J170" s="78">
        <f t="shared" si="51"/>
        <v>0</v>
      </c>
      <c r="Q170">
        <f t="shared" si="46"/>
        <v>0</v>
      </c>
    </row>
    <row r="171" spans="1:17" ht="12.75">
      <c r="A171" s="73"/>
      <c r="B171" s="74"/>
      <c r="C171" s="99"/>
      <c r="D171" s="75">
        <f t="shared" si="40"/>
        <v>0</v>
      </c>
      <c r="E171" s="75"/>
      <c r="F171" s="76">
        <f t="shared" si="47"/>
        <v>0</v>
      </c>
      <c r="G171" s="77">
        <f t="shared" si="48"/>
        <v>0</v>
      </c>
      <c r="H171" s="79">
        <f t="shared" si="49"/>
        <v>0</v>
      </c>
      <c r="I171" s="78">
        <f t="shared" si="50"/>
        <v>0</v>
      </c>
      <c r="J171" s="78">
        <f t="shared" si="51"/>
        <v>0</v>
      </c>
      <c r="Q171">
        <f t="shared" si="46"/>
        <v>0</v>
      </c>
    </row>
    <row r="172" spans="1:17" ht="12.75">
      <c r="A172" s="73"/>
      <c r="B172" s="74"/>
      <c r="C172" s="99"/>
      <c r="D172" s="75">
        <f t="shared" si="40"/>
        <v>0</v>
      </c>
      <c r="E172" s="75"/>
      <c r="F172" s="76">
        <f aca="true" t="shared" si="52" ref="F172:F179">IF(E173&gt;0,E173-E172,0)</f>
        <v>0</v>
      </c>
      <c r="G172" s="77">
        <f aca="true" t="shared" si="53" ref="G172:G179">IF(F172&gt;0,B172/F172*100,0)</f>
        <v>0</v>
      </c>
      <c r="H172" s="79">
        <f aca="true" t="shared" si="54" ref="H172:H179">IF(F172&gt;0,D172/F172,0)</f>
        <v>0</v>
      </c>
      <c r="I172" s="78">
        <f aca="true" t="shared" si="55" ref="I172:I179">IF(F172&gt;0,A173-A172,0)</f>
        <v>0</v>
      </c>
      <c r="J172" s="78">
        <f aca="true" t="shared" si="56" ref="J172:J179">IF(F172&gt;0,F172/I172,0)</f>
        <v>0</v>
      </c>
      <c r="Q172">
        <f t="shared" si="46"/>
        <v>0</v>
      </c>
    </row>
    <row r="173" spans="1:17" ht="12.75">
      <c r="A173" s="73"/>
      <c r="B173" s="74"/>
      <c r="C173" s="99"/>
      <c r="D173" s="75">
        <f t="shared" si="40"/>
        <v>0</v>
      </c>
      <c r="E173" s="75"/>
      <c r="F173" s="76">
        <f t="shared" si="52"/>
        <v>0</v>
      </c>
      <c r="G173" s="77">
        <f t="shared" si="53"/>
        <v>0</v>
      </c>
      <c r="H173" s="79">
        <f t="shared" si="54"/>
        <v>0</v>
      </c>
      <c r="I173" s="78">
        <f t="shared" si="55"/>
        <v>0</v>
      </c>
      <c r="J173" s="78">
        <f t="shared" si="56"/>
        <v>0</v>
      </c>
      <c r="Q173">
        <f t="shared" si="46"/>
        <v>0</v>
      </c>
    </row>
    <row r="174" spans="1:17" ht="12.75">
      <c r="A174" s="73"/>
      <c r="B174" s="74"/>
      <c r="C174" s="99"/>
      <c r="D174" s="75">
        <f t="shared" si="40"/>
        <v>0</v>
      </c>
      <c r="E174" s="75"/>
      <c r="F174" s="76">
        <f t="shared" si="52"/>
        <v>0</v>
      </c>
      <c r="G174" s="77">
        <f t="shared" si="53"/>
        <v>0</v>
      </c>
      <c r="H174" s="79">
        <f t="shared" si="54"/>
        <v>0</v>
      </c>
      <c r="I174" s="78">
        <f t="shared" si="55"/>
        <v>0</v>
      </c>
      <c r="J174" s="78">
        <f t="shared" si="56"/>
        <v>0</v>
      </c>
      <c r="Q174">
        <f t="shared" si="46"/>
        <v>0</v>
      </c>
    </row>
    <row r="175" spans="1:17" ht="12.75">
      <c r="A175" s="73"/>
      <c r="B175" s="74"/>
      <c r="C175" s="99"/>
      <c r="D175" s="75">
        <f t="shared" si="40"/>
        <v>0</v>
      </c>
      <c r="E175" s="75"/>
      <c r="F175" s="76">
        <f t="shared" si="52"/>
        <v>0</v>
      </c>
      <c r="G175" s="77">
        <f t="shared" si="53"/>
        <v>0</v>
      </c>
      <c r="H175" s="79">
        <f t="shared" si="54"/>
        <v>0</v>
      </c>
      <c r="I175" s="78">
        <f t="shared" si="55"/>
        <v>0</v>
      </c>
      <c r="J175" s="78">
        <f t="shared" si="56"/>
        <v>0</v>
      </c>
      <c r="Q175">
        <f t="shared" si="46"/>
        <v>0</v>
      </c>
    </row>
    <row r="176" spans="1:17" ht="12.75">
      <c r="A176" s="73"/>
      <c r="B176" s="74"/>
      <c r="C176" s="99"/>
      <c r="D176" s="75">
        <f t="shared" si="40"/>
        <v>0</v>
      </c>
      <c r="E176" s="75"/>
      <c r="F176" s="76">
        <f t="shared" si="52"/>
        <v>0</v>
      </c>
      <c r="G176" s="77">
        <f t="shared" si="53"/>
        <v>0</v>
      </c>
      <c r="H176" s="79">
        <f t="shared" si="54"/>
        <v>0</v>
      </c>
      <c r="I176" s="78">
        <f t="shared" si="55"/>
        <v>0</v>
      </c>
      <c r="J176" s="78">
        <f t="shared" si="56"/>
        <v>0</v>
      </c>
      <c r="Q176">
        <f t="shared" si="46"/>
        <v>0</v>
      </c>
    </row>
    <row r="177" spans="1:17" ht="12.75">
      <c r="A177" s="73"/>
      <c r="B177" s="74"/>
      <c r="C177" s="99"/>
      <c r="D177" s="75">
        <f t="shared" si="40"/>
        <v>0</v>
      </c>
      <c r="E177" s="75"/>
      <c r="F177" s="76">
        <f t="shared" si="52"/>
        <v>0</v>
      </c>
      <c r="G177" s="77">
        <f t="shared" si="53"/>
        <v>0</v>
      </c>
      <c r="H177" s="79">
        <f t="shared" si="54"/>
        <v>0</v>
      </c>
      <c r="I177" s="78">
        <f t="shared" si="55"/>
        <v>0</v>
      </c>
      <c r="J177" s="78">
        <f t="shared" si="56"/>
        <v>0</v>
      </c>
      <c r="Q177">
        <f t="shared" si="46"/>
        <v>0</v>
      </c>
    </row>
    <row r="178" spans="1:17" ht="12.75">
      <c r="A178" s="73"/>
      <c r="B178" s="74"/>
      <c r="C178" s="99"/>
      <c r="D178" s="75">
        <f t="shared" si="40"/>
        <v>0</v>
      </c>
      <c r="E178" s="75"/>
      <c r="F178" s="76">
        <f t="shared" si="52"/>
        <v>0</v>
      </c>
      <c r="G178" s="77">
        <f t="shared" si="53"/>
        <v>0</v>
      </c>
      <c r="H178" s="79">
        <f t="shared" si="54"/>
        <v>0</v>
      </c>
      <c r="I178" s="78">
        <f t="shared" si="55"/>
        <v>0</v>
      </c>
      <c r="J178" s="78">
        <f t="shared" si="56"/>
        <v>0</v>
      </c>
      <c r="Q178">
        <f t="shared" si="46"/>
        <v>0</v>
      </c>
    </row>
    <row r="179" spans="1:17" ht="12.75">
      <c r="A179" s="73"/>
      <c r="B179" s="74"/>
      <c r="C179" s="99"/>
      <c r="D179" s="75">
        <f t="shared" si="40"/>
        <v>0</v>
      </c>
      <c r="E179" s="75"/>
      <c r="F179" s="76">
        <f t="shared" si="52"/>
        <v>0</v>
      </c>
      <c r="G179" s="77">
        <f t="shared" si="53"/>
        <v>0</v>
      </c>
      <c r="H179" s="79">
        <f t="shared" si="54"/>
        <v>0</v>
      </c>
      <c r="I179" s="78">
        <f t="shared" si="55"/>
        <v>0</v>
      </c>
      <c r="J179" s="78">
        <f t="shared" si="56"/>
        <v>0</v>
      </c>
      <c r="Q179">
        <f t="shared" si="46"/>
        <v>0</v>
      </c>
    </row>
    <row r="180" spans="1:17" ht="12.75">
      <c r="A180" s="73"/>
      <c r="B180" s="74"/>
      <c r="C180" s="99"/>
      <c r="D180" s="75">
        <f t="shared" si="40"/>
        <v>0</v>
      </c>
      <c r="E180" s="75"/>
      <c r="F180" s="76">
        <f aca="true" t="shared" si="57" ref="F180:F199">IF(E181&gt;0,E181-E180,0)</f>
        <v>0</v>
      </c>
      <c r="G180" s="77">
        <f aca="true" t="shared" si="58" ref="G180:G189">IF(F180&gt;0,B180/F180*100,0)</f>
        <v>0</v>
      </c>
      <c r="H180" s="79">
        <f aca="true" t="shared" si="59" ref="H180:H189">IF(F180&gt;0,D180/F180,0)</f>
        <v>0</v>
      </c>
      <c r="I180" s="78">
        <f aca="true" t="shared" si="60" ref="I180:I189">IF(F180&gt;0,A181-A180,0)</f>
        <v>0</v>
      </c>
      <c r="J180" s="78">
        <f aca="true" t="shared" si="61" ref="J180:J189">IF(F180&gt;0,F180/I180,0)</f>
        <v>0</v>
      </c>
      <c r="Q180">
        <f t="shared" si="46"/>
        <v>0</v>
      </c>
    </row>
    <row r="181" spans="1:17" ht="12.75">
      <c r="A181" s="73"/>
      <c r="B181" s="74"/>
      <c r="C181" s="99"/>
      <c r="D181" s="75">
        <f t="shared" si="40"/>
        <v>0</v>
      </c>
      <c r="E181" s="75"/>
      <c r="F181" s="76">
        <f t="shared" si="57"/>
        <v>0</v>
      </c>
      <c r="G181" s="77">
        <f t="shared" si="58"/>
        <v>0</v>
      </c>
      <c r="H181" s="79">
        <f t="shared" si="59"/>
        <v>0</v>
      </c>
      <c r="I181" s="78">
        <f t="shared" si="60"/>
        <v>0</v>
      </c>
      <c r="J181" s="78">
        <f t="shared" si="61"/>
        <v>0</v>
      </c>
      <c r="Q181">
        <f t="shared" si="46"/>
        <v>0</v>
      </c>
    </row>
    <row r="182" spans="1:17" ht="12.75">
      <c r="A182" s="73"/>
      <c r="B182" s="74"/>
      <c r="C182" s="99"/>
      <c r="D182" s="75">
        <f t="shared" si="40"/>
        <v>0</v>
      </c>
      <c r="E182" s="75"/>
      <c r="F182" s="76">
        <f t="shared" si="57"/>
        <v>0</v>
      </c>
      <c r="G182" s="77">
        <f t="shared" si="58"/>
        <v>0</v>
      </c>
      <c r="H182" s="79">
        <f t="shared" si="59"/>
        <v>0</v>
      </c>
      <c r="I182" s="78">
        <f t="shared" si="60"/>
        <v>0</v>
      </c>
      <c r="J182" s="78">
        <f t="shared" si="61"/>
        <v>0</v>
      </c>
      <c r="Q182">
        <f t="shared" si="46"/>
        <v>0</v>
      </c>
    </row>
    <row r="183" spans="1:17" ht="12.75">
      <c r="A183" s="73"/>
      <c r="B183" s="74"/>
      <c r="C183" s="99"/>
      <c r="D183" s="75">
        <f t="shared" si="40"/>
        <v>0</v>
      </c>
      <c r="E183" s="75"/>
      <c r="F183" s="76">
        <f t="shared" si="57"/>
        <v>0</v>
      </c>
      <c r="G183" s="77">
        <f t="shared" si="58"/>
        <v>0</v>
      </c>
      <c r="H183" s="79">
        <f t="shared" si="59"/>
        <v>0</v>
      </c>
      <c r="I183" s="78">
        <f t="shared" si="60"/>
        <v>0</v>
      </c>
      <c r="J183" s="78">
        <f t="shared" si="61"/>
        <v>0</v>
      </c>
      <c r="Q183">
        <f t="shared" si="46"/>
        <v>0</v>
      </c>
    </row>
    <row r="184" spans="1:17" ht="12.75">
      <c r="A184" s="73"/>
      <c r="B184" s="74"/>
      <c r="C184" s="99"/>
      <c r="D184" s="75">
        <f t="shared" si="40"/>
        <v>0</v>
      </c>
      <c r="E184" s="75"/>
      <c r="F184" s="76">
        <f t="shared" si="57"/>
        <v>0</v>
      </c>
      <c r="G184" s="77">
        <f t="shared" si="58"/>
        <v>0</v>
      </c>
      <c r="H184" s="79">
        <f t="shared" si="59"/>
        <v>0</v>
      </c>
      <c r="I184" s="78">
        <f t="shared" si="60"/>
        <v>0</v>
      </c>
      <c r="J184" s="78">
        <f t="shared" si="61"/>
        <v>0</v>
      </c>
      <c r="Q184">
        <f t="shared" si="46"/>
        <v>0</v>
      </c>
    </row>
    <row r="185" spans="1:17" ht="12.75">
      <c r="A185" s="73"/>
      <c r="B185" s="74"/>
      <c r="C185" s="99"/>
      <c r="D185" s="75">
        <f t="shared" si="40"/>
        <v>0</v>
      </c>
      <c r="E185" s="75"/>
      <c r="F185" s="76">
        <f t="shared" si="57"/>
        <v>0</v>
      </c>
      <c r="G185" s="77">
        <f t="shared" si="58"/>
        <v>0</v>
      </c>
      <c r="H185" s="79">
        <f t="shared" si="59"/>
        <v>0</v>
      </c>
      <c r="I185" s="78">
        <f t="shared" si="60"/>
        <v>0</v>
      </c>
      <c r="J185" s="78">
        <f t="shared" si="61"/>
        <v>0</v>
      </c>
      <c r="Q185">
        <f t="shared" si="46"/>
        <v>0</v>
      </c>
    </row>
    <row r="186" spans="1:17" ht="12.75">
      <c r="A186" s="73"/>
      <c r="B186" s="74"/>
      <c r="C186" s="99"/>
      <c r="D186" s="75">
        <f t="shared" si="40"/>
        <v>0</v>
      </c>
      <c r="E186" s="75"/>
      <c r="F186" s="76">
        <f t="shared" si="57"/>
        <v>0</v>
      </c>
      <c r="G186" s="77">
        <f t="shared" si="58"/>
        <v>0</v>
      </c>
      <c r="H186" s="79">
        <f t="shared" si="59"/>
        <v>0</v>
      </c>
      <c r="I186" s="78">
        <f t="shared" si="60"/>
        <v>0</v>
      </c>
      <c r="J186" s="78">
        <f t="shared" si="61"/>
        <v>0</v>
      </c>
      <c r="Q186">
        <f t="shared" si="46"/>
        <v>0</v>
      </c>
    </row>
    <row r="187" spans="1:17" ht="12.75">
      <c r="A187" s="73"/>
      <c r="B187" s="74"/>
      <c r="C187" s="99"/>
      <c r="D187" s="75">
        <f t="shared" si="40"/>
        <v>0</v>
      </c>
      <c r="E187" s="75"/>
      <c r="F187" s="76">
        <f t="shared" si="57"/>
        <v>0</v>
      </c>
      <c r="G187" s="77">
        <f t="shared" si="58"/>
        <v>0</v>
      </c>
      <c r="H187" s="79">
        <f t="shared" si="59"/>
        <v>0</v>
      </c>
      <c r="I187" s="78">
        <f t="shared" si="60"/>
        <v>0</v>
      </c>
      <c r="J187" s="78">
        <f t="shared" si="61"/>
        <v>0</v>
      </c>
      <c r="Q187">
        <f t="shared" si="46"/>
        <v>0</v>
      </c>
    </row>
    <row r="188" spans="1:17" ht="12.75">
      <c r="A188" s="73"/>
      <c r="B188" s="74"/>
      <c r="C188" s="99"/>
      <c r="D188" s="75">
        <f t="shared" si="40"/>
        <v>0</v>
      </c>
      <c r="E188" s="75"/>
      <c r="F188" s="76">
        <f t="shared" si="57"/>
        <v>0</v>
      </c>
      <c r="G188" s="77">
        <f t="shared" si="58"/>
        <v>0</v>
      </c>
      <c r="H188" s="79">
        <f t="shared" si="59"/>
        <v>0</v>
      </c>
      <c r="I188" s="78">
        <f t="shared" si="60"/>
        <v>0</v>
      </c>
      <c r="J188" s="78">
        <f t="shared" si="61"/>
        <v>0</v>
      </c>
      <c r="Q188">
        <f t="shared" si="46"/>
        <v>0</v>
      </c>
    </row>
    <row r="189" spans="1:17" ht="12.75">
      <c r="A189" s="73"/>
      <c r="B189" s="74"/>
      <c r="C189" s="99"/>
      <c r="D189" s="75">
        <f t="shared" si="40"/>
        <v>0</v>
      </c>
      <c r="E189" s="75"/>
      <c r="F189" s="76">
        <f t="shared" si="57"/>
        <v>0</v>
      </c>
      <c r="G189" s="77">
        <f t="shared" si="58"/>
        <v>0</v>
      </c>
      <c r="H189" s="79">
        <f t="shared" si="59"/>
        <v>0</v>
      </c>
      <c r="I189" s="78">
        <f t="shared" si="60"/>
        <v>0</v>
      </c>
      <c r="J189" s="78">
        <f t="shared" si="61"/>
        <v>0</v>
      </c>
      <c r="Q189">
        <f t="shared" si="46"/>
        <v>0</v>
      </c>
    </row>
    <row r="190" spans="1:17" ht="12.75">
      <c r="A190" s="73"/>
      <c r="B190" s="74"/>
      <c r="C190" s="99"/>
      <c r="D190" s="75">
        <f t="shared" si="40"/>
        <v>0</v>
      </c>
      <c r="E190" s="75"/>
      <c r="F190" s="76">
        <f t="shared" si="57"/>
        <v>0</v>
      </c>
      <c r="G190" s="77">
        <f aca="true" t="shared" si="62" ref="G190:G199">IF(F190&gt;0,B190/F190*100,0)</f>
        <v>0</v>
      </c>
      <c r="H190" s="79">
        <f aca="true" t="shared" si="63" ref="H190:H199">IF(F190&gt;0,D190/F190,0)</f>
        <v>0</v>
      </c>
      <c r="I190" s="78">
        <f aca="true" t="shared" si="64" ref="I190:I204">IF(F190&gt;0,A191-A190,0)</f>
        <v>0</v>
      </c>
      <c r="J190" s="78">
        <f aca="true" t="shared" si="65" ref="J190:J199">IF(F190&gt;0,F190/I190,0)</f>
        <v>0</v>
      </c>
      <c r="Q190">
        <f t="shared" si="46"/>
        <v>0</v>
      </c>
    </row>
    <row r="191" spans="1:17" ht="12.75">
      <c r="A191" s="73"/>
      <c r="B191" s="74"/>
      <c r="C191" s="99"/>
      <c r="D191" s="75">
        <f t="shared" si="40"/>
        <v>0</v>
      </c>
      <c r="E191" s="75"/>
      <c r="F191" s="76">
        <f t="shared" si="57"/>
        <v>0</v>
      </c>
      <c r="G191" s="77">
        <f t="shared" si="62"/>
        <v>0</v>
      </c>
      <c r="H191" s="79">
        <f t="shared" si="63"/>
        <v>0</v>
      </c>
      <c r="I191" s="78">
        <f t="shared" si="64"/>
        <v>0</v>
      </c>
      <c r="J191" s="78">
        <f t="shared" si="65"/>
        <v>0</v>
      </c>
      <c r="Q191">
        <f t="shared" si="46"/>
        <v>0</v>
      </c>
    </row>
    <row r="192" spans="1:17" ht="12.75">
      <c r="A192" s="73"/>
      <c r="B192" s="74"/>
      <c r="C192" s="99"/>
      <c r="D192" s="75">
        <f t="shared" si="40"/>
        <v>0</v>
      </c>
      <c r="E192" s="75"/>
      <c r="F192" s="76">
        <f t="shared" si="57"/>
        <v>0</v>
      </c>
      <c r="G192" s="77">
        <f t="shared" si="62"/>
        <v>0</v>
      </c>
      <c r="H192" s="79">
        <f t="shared" si="63"/>
        <v>0</v>
      </c>
      <c r="I192" s="78">
        <f t="shared" si="64"/>
        <v>0</v>
      </c>
      <c r="J192" s="78">
        <f t="shared" si="65"/>
        <v>0</v>
      </c>
      <c r="Q192">
        <f t="shared" si="46"/>
        <v>0</v>
      </c>
    </row>
    <row r="193" spans="1:17" ht="12.75">
      <c r="A193" s="73"/>
      <c r="B193" s="74"/>
      <c r="C193" s="99"/>
      <c r="D193" s="75">
        <f t="shared" si="40"/>
        <v>0</v>
      </c>
      <c r="E193" s="75"/>
      <c r="F193" s="76">
        <f t="shared" si="57"/>
        <v>0</v>
      </c>
      <c r="G193" s="77">
        <f t="shared" si="62"/>
        <v>0</v>
      </c>
      <c r="H193" s="79">
        <f t="shared" si="63"/>
        <v>0</v>
      </c>
      <c r="I193" s="78">
        <f t="shared" si="64"/>
        <v>0</v>
      </c>
      <c r="J193" s="78">
        <f t="shared" si="65"/>
        <v>0</v>
      </c>
      <c r="Q193">
        <f t="shared" si="46"/>
        <v>0</v>
      </c>
    </row>
    <row r="194" spans="1:17" ht="12.75">
      <c r="A194" s="73"/>
      <c r="B194" s="74"/>
      <c r="C194" s="99"/>
      <c r="D194" s="75">
        <f t="shared" si="40"/>
        <v>0</v>
      </c>
      <c r="E194" s="75"/>
      <c r="F194" s="76">
        <f t="shared" si="57"/>
        <v>0</v>
      </c>
      <c r="G194" s="77">
        <f t="shared" si="62"/>
        <v>0</v>
      </c>
      <c r="H194" s="79">
        <f t="shared" si="63"/>
        <v>0</v>
      </c>
      <c r="I194" s="78">
        <f t="shared" si="64"/>
        <v>0</v>
      </c>
      <c r="J194" s="78">
        <f t="shared" si="65"/>
        <v>0</v>
      </c>
      <c r="Q194">
        <f t="shared" si="46"/>
        <v>0</v>
      </c>
    </row>
    <row r="195" spans="1:17" ht="12.75">
      <c r="A195" s="73"/>
      <c r="B195" s="74"/>
      <c r="C195" s="99"/>
      <c r="D195" s="75">
        <f t="shared" si="40"/>
        <v>0</v>
      </c>
      <c r="E195" s="75"/>
      <c r="F195" s="76">
        <f t="shared" si="57"/>
        <v>0</v>
      </c>
      <c r="G195" s="77">
        <f t="shared" si="62"/>
        <v>0</v>
      </c>
      <c r="H195" s="79">
        <f t="shared" si="63"/>
        <v>0</v>
      </c>
      <c r="I195" s="78">
        <f t="shared" si="64"/>
        <v>0</v>
      </c>
      <c r="J195" s="78">
        <f t="shared" si="65"/>
        <v>0</v>
      </c>
      <c r="Q195">
        <f t="shared" si="46"/>
        <v>0</v>
      </c>
    </row>
    <row r="196" spans="1:17" ht="12.75">
      <c r="A196" s="73"/>
      <c r="B196" s="74"/>
      <c r="C196" s="99"/>
      <c r="D196" s="75">
        <f t="shared" si="40"/>
        <v>0</v>
      </c>
      <c r="E196" s="75"/>
      <c r="F196" s="76">
        <f t="shared" si="57"/>
        <v>0</v>
      </c>
      <c r="G196" s="77">
        <f t="shared" si="62"/>
        <v>0</v>
      </c>
      <c r="H196" s="79">
        <f t="shared" si="63"/>
        <v>0</v>
      </c>
      <c r="I196" s="78">
        <f t="shared" si="64"/>
        <v>0</v>
      </c>
      <c r="J196" s="78">
        <f t="shared" si="65"/>
        <v>0</v>
      </c>
      <c r="Q196">
        <f t="shared" si="46"/>
        <v>0</v>
      </c>
    </row>
    <row r="197" spans="1:17" ht="12.75">
      <c r="A197" s="73"/>
      <c r="B197" s="74"/>
      <c r="C197" s="99"/>
      <c r="D197" s="75">
        <f t="shared" si="40"/>
        <v>0</v>
      </c>
      <c r="E197" s="75"/>
      <c r="F197" s="76">
        <f t="shared" si="57"/>
        <v>0</v>
      </c>
      <c r="G197" s="77">
        <f t="shared" si="62"/>
        <v>0</v>
      </c>
      <c r="H197" s="79">
        <f t="shared" si="63"/>
        <v>0</v>
      </c>
      <c r="I197" s="78">
        <f t="shared" si="64"/>
        <v>0</v>
      </c>
      <c r="J197" s="78">
        <f t="shared" si="65"/>
        <v>0</v>
      </c>
      <c r="Q197">
        <f t="shared" si="46"/>
        <v>0</v>
      </c>
    </row>
    <row r="198" spans="1:17" ht="12.75">
      <c r="A198" s="73"/>
      <c r="B198" s="74"/>
      <c r="C198" s="99"/>
      <c r="D198" s="75">
        <f t="shared" si="40"/>
        <v>0</v>
      </c>
      <c r="E198" s="75"/>
      <c r="F198" s="76">
        <f t="shared" si="57"/>
        <v>0</v>
      </c>
      <c r="G198" s="77">
        <f t="shared" si="62"/>
        <v>0</v>
      </c>
      <c r="H198" s="79">
        <f t="shared" si="63"/>
        <v>0</v>
      </c>
      <c r="I198" s="78">
        <f t="shared" si="64"/>
        <v>0</v>
      </c>
      <c r="J198" s="78">
        <f t="shared" si="65"/>
        <v>0</v>
      </c>
      <c r="Q198">
        <f t="shared" si="46"/>
        <v>0</v>
      </c>
    </row>
    <row r="199" spans="1:17" ht="12.75">
      <c r="A199" s="73"/>
      <c r="B199" s="74"/>
      <c r="C199" s="99"/>
      <c r="D199" s="75">
        <f t="shared" si="40"/>
        <v>0</v>
      </c>
      <c r="E199" s="75"/>
      <c r="F199" s="76">
        <f t="shared" si="57"/>
        <v>0</v>
      </c>
      <c r="G199" s="77">
        <f t="shared" si="62"/>
        <v>0</v>
      </c>
      <c r="H199" s="79">
        <f t="shared" si="63"/>
        <v>0</v>
      </c>
      <c r="I199" s="78">
        <f t="shared" si="64"/>
        <v>0</v>
      </c>
      <c r="J199" s="78">
        <f t="shared" si="65"/>
        <v>0</v>
      </c>
      <c r="Q199">
        <f t="shared" si="46"/>
        <v>0</v>
      </c>
    </row>
    <row r="200" spans="1:17" ht="12.75">
      <c r="A200" s="73"/>
      <c r="B200" s="74"/>
      <c r="C200" s="99"/>
      <c r="D200" s="75">
        <f t="shared" si="40"/>
        <v>0</v>
      </c>
      <c r="E200" s="75"/>
      <c r="F200" s="76">
        <f>IF(E201&gt;0,E201-E200,0)</f>
        <v>0</v>
      </c>
      <c r="G200" s="77">
        <f>IF(F200&gt;0,B200/F200*100,0)</f>
        <v>0</v>
      </c>
      <c r="H200" s="79">
        <f>IF(F200&gt;0,D200/F200,0)</f>
        <v>0</v>
      </c>
      <c r="I200" s="78">
        <f t="shared" si="64"/>
        <v>0</v>
      </c>
      <c r="J200" s="78">
        <f>IF(F200&gt;0,F200/I200,0)</f>
        <v>0</v>
      </c>
      <c r="Q200">
        <f t="shared" si="46"/>
        <v>0</v>
      </c>
    </row>
    <row r="201" spans="1:17" ht="12.75">
      <c r="A201" s="73"/>
      <c r="B201" s="74"/>
      <c r="C201" s="99"/>
      <c r="D201" s="75">
        <f t="shared" si="40"/>
        <v>0</v>
      </c>
      <c r="E201" s="75"/>
      <c r="F201" s="76">
        <f>IF(E202&gt;0,E202-E201,0)</f>
        <v>0</v>
      </c>
      <c r="G201" s="77">
        <f>IF(F201&gt;0,B201/F201*100,0)</f>
        <v>0</v>
      </c>
      <c r="H201" s="79">
        <f>IF(F201&gt;0,D201/F201,0)</f>
        <v>0</v>
      </c>
      <c r="I201" s="78">
        <f t="shared" si="64"/>
        <v>0</v>
      </c>
      <c r="J201" s="78">
        <f>IF(F201&gt;0,F201/I201,0)</f>
        <v>0</v>
      </c>
      <c r="Q201">
        <f t="shared" si="46"/>
        <v>0</v>
      </c>
    </row>
    <row r="202" spans="1:17" ht="12.75">
      <c r="A202" s="73"/>
      <c r="B202" s="74"/>
      <c r="C202" s="99"/>
      <c r="D202" s="75">
        <f t="shared" si="40"/>
        <v>0</v>
      </c>
      <c r="E202" s="75"/>
      <c r="F202" s="76">
        <f>IF(E203&gt;0,E203-E202,0)</f>
        <v>0</v>
      </c>
      <c r="G202" s="77">
        <f>IF(F202&gt;0,B202/F202*100,0)</f>
        <v>0</v>
      </c>
      <c r="H202" s="79">
        <f>IF(F202&gt;0,D202/F202,0)</f>
        <v>0</v>
      </c>
      <c r="I202" s="78">
        <f t="shared" si="64"/>
        <v>0</v>
      </c>
      <c r="J202" s="78">
        <f>IF(F202&gt;0,F202/I202,0)</f>
        <v>0</v>
      </c>
      <c r="Q202">
        <f t="shared" si="46"/>
        <v>0</v>
      </c>
    </row>
    <row r="203" spans="1:17" ht="12.75">
      <c r="A203" s="73"/>
      <c r="B203" s="74"/>
      <c r="C203" s="99"/>
      <c r="D203" s="75">
        <f t="shared" si="40"/>
        <v>0</v>
      </c>
      <c r="E203" s="75"/>
      <c r="F203" s="76">
        <f>IF(E204&gt;0,E204-E203,0)</f>
        <v>0</v>
      </c>
      <c r="G203" s="77">
        <f>IF(F203&gt;0,B203/F203*100,0)</f>
        <v>0</v>
      </c>
      <c r="H203" s="79">
        <f>IF(F203&gt;0,D203/F203,0)</f>
        <v>0</v>
      </c>
      <c r="I203" s="78">
        <f t="shared" si="64"/>
        <v>0</v>
      </c>
      <c r="J203" s="78">
        <f>IF(F203&gt;0,F203/I203,0)</f>
        <v>0</v>
      </c>
      <c r="Q203">
        <f t="shared" si="46"/>
        <v>0</v>
      </c>
    </row>
    <row r="204" spans="1:17" ht="12.75">
      <c r="A204" s="73"/>
      <c r="B204" s="74"/>
      <c r="C204" s="99"/>
      <c r="D204" s="75">
        <f t="shared" si="40"/>
        <v>0</v>
      </c>
      <c r="E204" s="75"/>
      <c r="F204" s="76">
        <f>IF(E205&gt;0,E205-E204,0)</f>
        <v>0</v>
      </c>
      <c r="G204" s="77">
        <f>IF(F204&gt;0,B204/F204*100,0)</f>
        <v>0</v>
      </c>
      <c r="H204" s="79">
        <f>IF(F204&gt;0,D204/F204,0)</f>
        <v>0</v>
      </c>
      <c r="I204" s="78">
        <f t="shared" si="64"/>
        <v>0</v>
      </c>
      <c r="J204" s="78">
        <f>IF(F204&gt;0,F204/I204,0)</f>
        <v>0</v>
      </c>
      <c r="Q204">
        <f t="shared" si="46"/>
        <v>0</v>
      </c>
    </row>
    <row r="205" spans="1:17" ht="12.75">
      <c r="A205" s="73"/>
      <c r="B205" s="74"/>
      <c r="C205" s="99"/>
      <c r="D205" s="75">
        <f t="shared" si="40"/>
        <v>0</v>
      </c>
      <c r="E205" s="75"/>
      <c r="F205" s="76">
        <f aca="true" t="shared" si="66" ref="F205:F215">IF(E206&gt;0,E206-E205,0)</f>
        <v>0</v>
      </c>
      <c r="G205" s="77">
        <f aca="true" t="shared" si="67" ref="G205:G215">IF(F205&gt;0,B205/F205*100,0)</f>
        <v>0</v>
      </c>
      <c r="H205" s="79">
        <f aca="true" t="shared" si="68" ref="H205:H215">IF(F205&gt;0,D205/F205,0)</f>
        <v>0</v>
      </c>
      <c r="I205" s="78">
        <f aca="true" t="shared" si="69" ref="I205:I215">IF(F205&gt;0,A206-A205,0)</f>
        <v>0</v>
      </c>
      <c r="J205" s="78">
        <f aca="true" t="shared" si="70" ref="J205:J215">IF(F205&gt;0,F205/I205,0)</f>
        <v>0</v>
      </c>
      <c r="Q205">
        <f t="shared" si="46"/>
        <v>0</v>
      </c>
    </row>
    <row r="206" spans="1:17" ht="12.75">
      <c r="A206" s="73"/>
      <c r="B206" s="74"/>
      <c r="C206" s="99"/>
      <c r="D206" s="75">
        <f t="shared" si="40"/>
        <v>0</v>
      </c>
      <c r="E206" s="75"/>
      <c r="F206" s="76">
        <f t="shared" si="66"/>
        <v>0</v>
      </c>
      <c r="G206" s="77">
        <f t="shared" si="67"/>
        <v>0</v>
      </c>
      <c r="H206" s="79">
        <f t="shared" si="68"/>
        <v>0</v>
      </c>
      <c r="I206" s="78">
        <f t="shared" si="69"/>
        <v>0</v>
      </c>
      <c r="J206" s="78">
        <f t="shared" si="70"/>
        <v>0</v>
      </c>
      <c r="Q206">
        <f t="shared" si="46"/>
        <v>0</v>
      </c>
    </row>
    <row r="207" spans="1:17" ht="12.75">
      <c r="A207" s="73"/>
      <c r="B207" s="74"/>
      <c r="C207" s="99"/>
      <c r="D207" s="75">
        <f t="shared" si="40"/>
        <v>0</v>
      </c>
      <c r="E207" s="75"/>
      <c r="F207" s="76">
        <f t="shared" si="66"/>
        <v>0</v>
      </c>
      <c r="G207" s="77">
        <f t="shared" si="67"/>
        <v>0</v>
      </c>
      <c r="H207" s="79">
        <f t="shared" si="68"/>
        <v>0</v>
      </c>
      <c r="I207" s="78">
        <f t="shared" si="69"/>
        <v>0</v>
      </c>
      <c r="J207" s="78">
        <f t="shared" si="70"/>
        <v>0</v>
      </c>
      <c r="Q207">
        <f t="shared" si="46"/>
        <v>0</v>
      </c>
    </row>
    <row r="208" spans="1:17" ht="12.75">
      <c r="A208" s="73"/>
      <c r="B208" s="74"/>
      <c r="C208" s="99"/>
      <c r="D208" s="75">
        <f t="shared" si="40"/>
        <v>0</v>
      </c>
      <c r="E208" s="75"/>
      <c r="F208" s="76">
        <f t="shared" si="66"/>
        <v>0</v>
      </c>
      <c r="G208" s="77">
        <f t="shared" si="67"/>
        <v>0</v>
      </c>
      <c r="H208" s="79">
        <f t="shared" si="68"/>
        <v>0</v>
      </c>
      <c r="I208" s="78">
        <f t="shared" si="69"/>
        <v>0</v>
      </c>
      <c r="J208" s="78">
        <f t="shared" si="70"/>
        <v>0</v>
      </c>
      <c r="Q208">
        <f t="shared" si="46"/>
        <v>0</v>
      </c>
    </row>
    <row r="209" spans="1:17" ht="12.75">
      <c r="A209" s="73"/>
      <c r="B209" s="74"/>
      <c r="C209" s="99"/>
      <c r="D209" s="75">
        <f t="shared" si="40"/>
        <v>0</v>
      </c>
      <c r="E209" s="75"/>
      <c r="F209" s="76">
        <f t="shared" si="66"/>
        <v>0</v>
      </c>
      <c r="G209" s="77">
        <f t="shared" si="67"/>
        <v>0</v>
      </c>
      <c r="H209" s="79">
        <f t="shared" si="68"/>
        <v>0</v>
      </c>
      <c r="I209" s="78">
        <f t="shared" si="69"/>
        <v>0</v>
      </c>
      <c r="J209" s="78">
        <f t="shared" si="70"/>
        <v>0</v>
      </c>
      <c r="Q209">
        <f t="shared" si="46"/>
        <v>0</v>
      </c>
    </row>
    <row r="210" spans="1:17" ht="12.75">
      <c r="A210" s="73"/>
      <c r="B210" s="74"/>
      <c r="C210" s="99"/>
      <c r="D210" s="75">
        <f t="shared" si="40"/>
        <v>0</v>
      </c>
      <c r="E210" s="75"/>
      <c r="F210" s="76">
        <f t="shared" si="66"/>
        <v>0</v>
      </c>
      <c r="G210" s="77">
        <f t="shared" si="67"/>
        <v>0</v>
      </c>
      <c r="H210" s="79">
        <f t="shared" si="68"/>
        <v>0</v>
      </c>
      <c r="I210" s="78">
        <f t="shared" si="69"/>
        <v>0</v>
      </c>
      <c r="J210" s="78">
        <f t="shared" si="70"/>
        <v>0</v>
      </c>
      <c r="Q210">
        <f t="shared" si="46"/>
        <v>0</v>
      </c>
    </row>
    <row r="211" spans="1:17" ht="12.75">
      <c r="A211" s="73"/>
      <c r="B211" s="74"/>
      <c r="C211" s="99"/>
      <c r="D211" s="75">
        <f>B211*C211</f>
        <v>0</v>
      </c>
      <c r="E211" s="75"/>
      <c r="F211" s="76">
        <f t="shared" si="66"/>
        <v>0</v>
      </c>
      <c r="G211" s="77">
        <f t="shared" si="67"/>
        <v>0</v>
      </c>
      <c r="H211" s="79">
        <f t="shared" si="68"/>
        <v>0</v>
      </c>
      <c r="I211" s="78">
        <f t="shared" si="69"/>
        <v>0</v>
      </c>
      <c r="J211" s="78">
        <f t="shared" si="70"/>
        <v>0</v>
      </c>
      <c r="Q211">
        <f t="shared" si="46"/>
        <v>0</v>
      </c>
    </row>
    <row r="212" spans="1:17" ht="12.75">
      <c r="A212" s="73"/>
      <c r="B212" s="74"/>
      <c r="C212" s="99"/>
      <c r="D212" s="75">
        <f t="shared" si="40"/>
        <v>0</v>
      </c>
      <c r="E212" s="75"/>
      <c r="F212" s="76">
        <f t="shared" si="66"/>
        <v>0</v>
      </c>
      <c r="G212" s="77">
        <f t="shared" si="67"/>
        <v>0</v>
      </c>
      <c r="H212" s="79">
        <f t="shared" si="68"/>
        <v>0</v>
      </c>
      <c r="I212" s="78">
        <f t="shared" si="69"/>
        <v>0</v>
      </c>
      <c r="J212" s="78">
        <f t="shared" si="70"/>
        <v>0</v>
      </c>
      <c r="Q212">
        <f t="shared" si="46"/>
        <v>0</v>
      </c>
    </row>
    <row r="213" spans="1:17" ht="12.75">
      <c r="A213" s="73"/>
      <c r="B213" s="74"/>
      <c r="C213" s="99"/>
      <c r="D213" s="75">
        <f t="shared" si="40"/>
        <v>0</v>
      </c>
      <c r="E213" s="75"/>
      <c r="F213" s="76">
        <f t="shared" si="66"/>
        <v>0</v>
      </c>
      <c r="G213" s="77">
        <f t="shared" si="67"/>
        <v>0</v>
      </c>
      <c r="H213" s="79">
        <f t="shared" si="68"/>
        <v>0</v>
      </c>
      <c r="I213" s="78">
        <f t="shared" si="69"/>
        <v>0</v>
      </c>
      <c r="J213" s="78">
        <f t="shared" si="70"/>
        <v>0</v>
      </c>
      <c r="Q213">
        <f t="shared" si="46"/>
        <v>0</v>
      </c>
    </row>
    <row r="214" spans="1:17" ht="12.75">
      <c r="A214" s="73"/>
      <c r="B214" s="74"/>
      <c r="C214" s="99"/>
      <c r="D214" s="75">
        <f t="shared" si="40"/>
        <v>0</v>
      </c>
      <c r="E214" s="75"/>
      <c r="F214" s="76">
        <f t="shared" si="66"/>
        <v>0</v>
      </c>
      <c r="G214" s="77">
        <f t="shared" si="67"/>
        <v>0</v>
      </c>
      <c r="H214" s="79">
        <f t="shared" si="68"/>
        <v>0</v>
      </c>
      <c r="I214" s="78">
        <f t="shared" si="69"/>
        <v>0</v>
      </c>
      <c r="J214" s="78">
        <f t="shared" si="70"/>
        <v>0</v>
      </c>
      <c r="Q214">
        <f t="shared" si="46"/>
        <v>0</v>
      </c>
    </row>
    <row r="215" spans="1:17" ht="12.75">
      <c r="A215" s="73"/>
      <c r="B215" s="74"/>
      <c r="C215" s="99"/>
      <c r="D215" s="75">
        <f t="shared" si="40"/>
        <v>0</v>
      </c>
      <c r="E215" s="75"/>
      <c r="F215" s="76">
        <f t="shared" si="66"/>
        <v>0</v>
      </c>
      <c r="G215" s="77">
        <f t="shared" si="67"/>
        <v>0</v>
      </c>
      <c r="H215" s="79">
        <f t="shared" si="68"/>
        <v>0</v>
      </c>
      <c r="I215" s="78">
        <f t="shared" si="69"/>
        <v>0</v>
      </c>
      <c r="J215" s="78">
        <f t="shared" si="70"/>
        <v>0</v>
      </c>
      <c r="Q215">
        <f t="shared" si="46"/>
        <v>0</v>
      </c>
    </row>
    <row r="216" spans="1:17" ht="12.75">
      <c r="A216" s="73"/>
      <c r="B216" s="74"/>
      <c r="C216" s="99"/>
      <c r="D216" s="75">
        <f t="shared" si="40"/>
        <v>0</v>
      </c>
      <c r="E216" s="75"/>
      <c r="F216" s="76">
        <f aca="true" t="shared" si="71" ref="F216:F222">IF(E217&gt;0,E217-E216,0)</f>
        <v>0</v>
      </c>
      <c r="G216" s="77">
        <f aca="true" t="shared" si="72" ref="G216:G222">IF(F216&gt;0,B216/F216*100,0)</f>
        <v>0</v>
      </c>
      <c r="H216" s="79">
        <f aca="true" t="shared" si="73" ref="H216:H222">IF(F216&gt;0,D216/F216,0)</f>
        <v>0</v>
      </c>
      <c r="I216" s="78">
        <f aca="true" t="shared" si="74" ref="I216:I222">IF(F216&gt;0,A217-A216,0)</f>
        <v>0</v>
      </c>
      <c r="J216" s="78">
        <f aca="true" t="shared" si="75" ref="J216:J222">IF(F216&gt;0,F216/I216,0)</f>
        <v>0</v>
      </c>
      <c r="Q216">
        <f t="shared" si="46"/>
        <v>0</v>
      </c>
    </row>
    <row r="217" spans="1:17" ht="12.75">
      <c r="A217" s="73"/>
      <c r="B217" s="74"/>
      <c r="C217" s="99"/>
      <c r="D217" s="75">
        <f t="shared" si="40"/>
        <v>0</v>
      </c>
      <c r="E217" s="75"/>
      <c r="F217" s="76">
        <f t="shared" si="71"/>
        <v>0</v>
      </c>
      <c r="G217" s="77">
        <f t="shared" si="72"/>
        <v>0</v>
      </c>
      <c r="H217" s="79">
        <f t="shared" si="73"/>
        <v>0</v>
      </c>
      <c r="I217" s="78">
        <f t="shared" si="74"/>
        <v>0</v>
      </c>
      <c r="J217" s="78">
        <f t="shared" si="75"/>
        <v>0</v>
      </c>
      <c r="Q217">
        <f t="shared" si="46"/>
        <v>0</v>
      </c>
    </row>
    <row r="218" spans="1:17" ht="12.75">
      <c r="A218" s="73"/>
      <c r="B218" s="74"/>
      <c r="C218" s="99"/>
      <c r="D218" s="75">
        <f t="shared" si="40"/>
        <v>0</v>
      </c>
      <c r="E218" s="75"/>
      <c r="F218" s="76">
        <f t="shared" si="71"/>
        <v>0</v>
      </c>
      <c r="G218" s="77">
        <f t="shared" si="72"/>
        <v>0</v>
      </c>
      <c r="H218" s="79">
        <f t="shared" si="73"/>
        <v>0</v>
      </c>
      <c r="I218" s="78">
        <f t="shared" si="74"/>
        <v>0</v>
      </c>
      <c r="J218" s="78">
        <f t="shared" si="75"/>
        <v>0</v>
      </c>
      <c r="Q218">
        <f t="shared" si="46"/>
        <v>0</v>
      </c>
    </row>
    <row r="219" spans="1:17" ht="12.75">
      <c r="A219" s="73"/>
      <c r="B219" s="74"/>
      <c r="C219" s="99"/>
      <c r="D219" s="75">
        <f t="shared" si="40"/>
        <v>0</v>
      </c>
      <c r="E219" s="75"/>
      <c r="F219" s="76">
        <f t="shared" si="71"/>
        <v>0</v>
      </c>
      <c r="G219" s="77">
        <f t="shared" si="72"/>
        <v>0</v>
      </c>
      <c r="H219" s="79">
        <f t="shared" si="73"/>
        <v>0</v>
      </c>
      <c r="I219" s="78">
        <f t="shared" si="74"/>
        <v>0</v>
      </c>
      <c r="J219" s="78">
        <f t="shared" si="75"/>
        <v>0</v>
      </c>
      <c r="Q219">
        <f t="shared" si="46"/>
        <v>0</v>
      </c>
    </row>
    <row r="220" spans="1:17" ht="12.75">
      <c r="A220" s="73"/>
      <c r="B220" s="74"/>
      <c r="C220" s="99"/>
      <c r="D220" s="75">
        <f t="shared" si="40"/>
        <v>0</v>
      </c>
      <c r="E220" s="75"/>
      <c r="F220" s="76">
        <f t="shared" si="71"/>
        <v>0</v>
      </c>
      <c r="G220" s="77">
        <f t="shared" si="72"/>
        <v>0</v>
      </c>
      <c r="H220" s="79">
        <f t="shared" si="73"/>
        <v>0</v>
      </c>
      <c r="I220" s="78">
        <f t="shared" si="74"/>
        <v>0</v>
      </c>
      <c r="J220" s="78">
        <f t="shared" si="75"/>
        <v>0</v>
      </c>
      <c r="Q220">
        <f t="shared" si="46"/>
        <v>0</v>
      </c>
    </row>
    <row r="221" spans="1:17" ht="12.75">
      <c r="A221" s="73"/>
      <c r="B221" s="74"/>
      <c r="C221" s="99"/>
      <c r="D221" s="75">
        <f t="shared" si="40"/>
        <v>0</v>
      </c>
      <c r="E221" s="75"/>
      <c r="F221" s="76">
        <f t="shared" si="71"/>
        <v>0</v>
      </c>
      <c r="G221" s="77">
        <f t="shared" si="72"/>
        <v>0</v>
      </c>
      <c r="H221" s="79">
        <f t="shared" si="73"/>
        <v>0</v>
      </c>
      <c r="I221" s="78">
        <f t="shared" si="74"/>
        <v>0</v>
      </c>
      <c r="J221" s="78">
        <f t="shared" si="75"/>
        <v>0</v>
      </c>
      <c r="Q221">
        <f t="shared" si="46"/>
        <v>0</v>
      </c>
    </row>
    <row r="222" spans="1:17" ht="12.75">
      <c r="A222" s="73"/>
      <c r="B222" s="74"/>
      <c r="C222" s="99"/>
      <c r="D222" s="75">
        <f t="shared" si="40"/>
        <v>0</v>
      </c>
      <c r="E222" s="75"/>
      <c r="F222" s="76">
        <f t="shared" si="71"/>
        <v>0</v>
      </c>
      <c r="G222" s="77">
        <f t="shared" si="72"/>
        <v>0</v>
      </c>
      <c r="H222" s="79">
        <f t="shared" si="73"/>
        <v>0</v>
      </c>
      <c r="I222" s="78">
        <f t="shared" si="74"/>
        <v>0</v>
      </c>
      <c r="J222" s="78">
        <f t="shared" si="75"/>
        <v>0</v>
      </c>
      <c r="Q222">
        <f t="shared" si="46"/>
        <v>0</v>
      </c>
    </row>
    <row r="223" spans="1:17" ht="12.75">
      <c r="A223" s="73"/>
      <c r="B223" s="74"/>
      <c r="C223" s="99"/>
      <c r="D223" s="75">
        <f t="shared" si="40"/>
        <v>0</v>
      </c>
      <c r="E223" s="75"/>
      <c r="F223" s="76">
        <f aca="true" t="shared" si="76" ref="F223:F228">IF(E224&gt;0,E224-E223,0)</f>
        <v>0</v>
      </c>
      <c r="G223" s="77">
        <f aca="true" t="shared" si="77" ref="G223:G228">IF(F223&gt;0,B223/F223*100,0)</f>
        <v>0</v>
      </c>
      <c r="H223" s="79">
        <f aca="true" t="shared" si="78" ref="H223:H228">IF(F223&gt;0,D223/F223,0)</f>
        <v>0</v>
      </c>
      <c r="I223" s="78">
        <f aca="true" t="shared" si="79" ref="I223:I228">IF(F223&gt;0,A224-A223,0)</f>
        <v>0</v>
      </c>
      <c r="J223" s="78">
        <f aca="true" t="shared" si="80" ref="J223:J228">IF(F223&gt;0,F223/I223,0)</f>
        <v>0</v>
      </c>
      <c r="Q223">
        <f t="shared" si="46"/>
        <v>0</v>
      </c>
    </row>
    <row r="224" spans="1:17" ht="12.75">
      <c r="A224" s="73"/>
      <c r="B224" s="74"/>
      <c r="C224" s="99"/>
      <c r="D224" s="75">
        <f t="shared" si="40"/>
        <v>0</v>
      </c>
      <c r="E224" s="75"/>
      <c r="F224" s="76">
        <f t="shared" si="76"/>
        <v>0</v>
      </c>
      <c r="G224" s="77">
        <f t="shared" si="77"/>
        <v>0</v>
      </c>
      <c r="H224" s="79">
        <f t="shared" si="78"/>
        <v>0</v>
      </c>
      <c r="I224" s="78">
        <f t="shared" si="79"/>
        <v>0</v>
      </c>
      <c r="J224" s="78">
        <f t="shared" si="80"/>
        <v>0</v>
      </c>
      <c r="Q224">
        <f t="shared" si="46"/>
        <v>0</v>
      </c>
    </row>
    <row r="225" spans="1:17" ht="12.75">
      <c r="A225" s="73"/>
      <c r="B225" s="74"/>
      <c r="C225" s="99"/>
      <c r="D225" s="75">
        <f t="shared" si="40"/>
        <v>0</v>
      </c>
      <c r="E225" s="75"/>
      <c r="F225" s="76">
        <f t="shared" si="76"/>
        <v>0</v>
      </c>
      <c r="G225" s="77">
        <f t="shared" si="77"/>
        <v>0</v>
      </c>
      <c r="H225" s="79">
        <f t="shared" si="78"/>
        <v>0</v>
      </c>
      <c r="I225" s="78">
        <f t="shared" si="79"/>
        <v>0</v>
      </c>
      <c r="J225" s="78">
        <f t="shared" si="80"/>
        <v>0</v>
      </c>
      <c r="Q225">
        <f t="shared" si="46"/>
        <v>0</v>
      </c>
    </row>
    <row r="226" spans="1:17" ht="12.75">
      <c r="A226" s="73"/>
      <c r="B226" s="74"/>
      <c r="C226" s="99"/>
      <c r="D226" s="75">
        <f t="shared" si="40"/>
        <v>0</v>
      </c>
      <c r="E226" s="75"/>
      <c r="F226" s="76">
        <f t="shared" si="76"/>
        <v>0</v>
      </c>
      <c r="G226" s="77">
        <f t="shared" si="77"/>
        <v>0</v>
      </c>
      <c r="H226" s="79">
        <f t="shared" si="78"/>
        <v>0</v>
      </c>
      <c r="I226" s="78">
        <f t="shared" si="79"/>
        <v>0</v>
      </c>
      <c r="J226" s="78">
        <f t="shared" si="80"/>
        <v>0</v>
      </c>
      <c r="Q226">
        <f t="shared" si="46"/>
        <v>0</v>
      </c>
    </row>
    <row r="227" spans="1:17" ht="12.75">
      <c r="A227" s="73"/>
      <c r="B227" s="74"/>
      <c r="C227" s="99"/>
      <c r="D227" s="75">
        <f t="shared" si="40"/>
        <v>0</v>
      </c>
      <c r="E227" s="75"/>
      <c r="F227" s="76">
        <f t="shared" si="76"/>
        <v>0</v>
      </c>
      <c r="G227" s="77">
        <f t="shared" si="77"/>
        <v>0</v>
      </c>
      <c r="H227" s="79">
        <f t="shared" si="78"/>
        <v>0</v>
      </c>
      <c r="I227" s="78">
        <f t="shared" si="79"/>
        <v>0</v>
      </c>
      <c r="J227" s="78">
        <f t="shared" si="80"/>
        <v>0</v>
      </c>
      <c r="Q227">
        <f t="shared" si="46"/>
        <v>0</v>
      </c>
    </row>
    <row r="228" spans="1:17" ht="12.75">
      <c r="A228" s="73"/>
      <c r="B228" s="74"/>
      <c r="C228" s="99"/>
      <c r="D228" s="75">
        <f t="shared" si="40"/>
        <v>0</v>
      </c>
      <c r="E228" s="75"/>
      <c r="F228" s="76">
        <f t="shared" si="76"/>
        <v>0</v>
      </c>
      <c r="G228" s="77">
        <f t="shared" si="77"/>
        <v>0</v>
      </c>
      <c r="H228" s="79">
        <f t="shared" si="78"/>
        <v>0</v>
      </c>
      <c r="I228" s="78">
        <f t="shared" si="79"/>
        <v>0</v>
      </c>
      <c r="J228" s="78">
        <f t="shared" si="80"/>
        <v>0</v>
      </c>
      <c r="Q228">
        <f t="shared" si="46"/>
        <v>0</v>
      </c>
    </row>
    <row r="229" spans="1:17" ht="12.75">
      <c r="A229" s="73"/>
      <c r="B229" s="74"/>
      <c r="C229" s="99"/>
      <c r="D229" s="75">
        <f aca="true" t="shared" si="81" ref="D229:D267">B229*C229</f>
        <v>0</v>
      </c>
      <c r="E229" s="75"/>
      <c r="F229" s="76">
        <f aca="true" t="shared" si="82" ref="F229:F234">IF(E230&gt;0,E230-E229,0)</f>
        <v>0</v>
      </c>
      <c r="G229" s="77">
        <f aca="true" t="shared" si="83" ref="G229:G234">IF(F229&gt;0,B229/F229*100,0)</f>
        <v>0</v>
      </c>
      <c r="H229" s="79">
        <f aca="true" t="shared" si="84" ref="H229:H234">IF(F229&gt;0,D229/F229,0)</f>
        <v>0</v>
      </c>
      <c r="I229" s="78">
        <f aca="true" t="shared" si="85" ref="I229:I234">IF(F229&gt;0,A230-A229,0)</f>
        <v>0</v>
      </c>
      <c r="J229" s="78">
        <f aca="true" t="shared" si="86" ref="J229:J234">IF(F229&gt;0,F229/I229,0)</f>
        <v>0</v>
      </c>
      <c r="Q229">
        <f t="shared" si="46"/>
        <v>0</v>
      </c>
    </row>
    <row r="230" spans="1:17" ht="12.75">
      <c r="A230" s="73"/>
      <c r="B230" s="74"/>
      <c r="C230" s="99"/>
      <c r="D230" s="75">
        <f t="shared" si="81"/>
        <v>0</v>
      </c>
      <c r="E230" s="75"/>
      <c r="F230" s="76">
        <f t="shared" si="82"/>
        <v>0</v>
      </c>
      <c r="G230" s="77">
        <f t="shared" si="83"/>
        <v>0</v>
      </c>
      <c r="H230" s="79">
        <f t="shared" si="84"/>
        <v>0</v>
      </c>
      <c r="I230" s="78">
        <f t="shared" si="85"/>
        <v>0</v>
      </c>
      <c r="J230" s="78">
        <f t="shared" si="86"/>
        <v>0</v>
      </c>
      <c r="Q230">
        <f t="shared" si="46"/>
        <v>0</v>
      </c>
    </row>
    <row r="231" spans="1:17" ht="12.75">
      <c r="A231" s="73"/>
      <c r="B231" s="74"/>
      <c r="C231" s="99"/>
      <c r="D231" s="75">
        <f t="shared" si="81"/>
        <v>0</v>
      </c>
      <c r="E231" s="75"/>
      <c r="F231" s="76">
        <f t="shared" si="82"/>
        <v>0</v>
      </c>
      <c r="G231" s="77">
        <f t="shared" si="83"/>
        <v>0</v>
      </c>
      <c r="H231" s="79">
        <f t="shared" si="84"/>
        <v>0</v>
      </c>
      <c r="I231" s="78">
        <f t="shared" si="85"/>
        <v>0</v>
      </c>
      <c r="J231" s="78">
        <f t="shared" si="86"/>
        <v>0</v>
      </c>
      <c r="Q231">
        <f t="shared" si="46"/>
        <v>0</v>
      </c>
    </row>
    <row r="232" spans="1:17" ht="12.75">
      <c r="A232" s="73"/>
      <c r="B232" s="74"/>
      <c r="C232" s="99"/>
      <c r="D232" s="75">
        <f t="shared" si="81"/>
        <v>0</v>
      </c>
      <c r="E232" s="75"/>
      <c r="F232" s="76">
        <f t="shared" si="82"/>
        <v>0</v>
      </c>
      <c r="G232" s="77">
        <f t="shared" si="83"/>
        <v>0</v>
      </c>
      <c r="H232" s="79">
        <f t="shared" si="84"/>
        <v>0</v>
      </c>
      <c r="I232" s="78">
        <f t="shared" si="85"/>
        <v>0</v>
      </c>
      <c r="J232" s="78">
        <f t="shared" si="86"/>
        <v>0</v>
      </c>
      <c r="Q232">
        <f t="shared" si="46"/>
        <v>0</v>
      </c>
    </row>
    <row r="233" spans="1:17" ht="12.75">
      <c r="A233" s="73"/>
      <c r="B233" s="74"/>
      <c r="C233" s="99"/>
      <c r="D233" s="75">
        <f t="shared" si="81"/>
        <v>0</v>
      </c>
      <c r="E233" s="75"/>
      <c r="F233" s="76">
        <f t="shared" si="82"/>
        <v>0</v>
      </c>
      <c r="G233" s="77">
        <f t="shared" si="83"/>
        <v>0</v>
      </c>
      <c r="H233" s="79">
        <f t="shared" si="84"/>
        <v>0</v>
      </c>
      <c r="I233" s="78">
        <f t="shared" si="85"/>
        <v>0</v>
      </c>
      <c r="J233" s="78">
        <f t="shared" si="86"/>
        <v>0</v>
      </c>
      <c r="Q233">
        <f t="shared" si="46"/>
        <v>0</v>
      </c>
    </row>
    <row r="234" spans="1:17" ht="12.75">
      <c r="A234" s="73"/>
      <c r="B234" s="74"/>
      <c r="C234" s="99"/>
      <c r="D234" s="75">
        <f t="shared" si="81"/>
        <v>0</v>
      </c>
      <c r="E234" s="75"/>
      <c r="F234" s="76">
        <f t="shared" si="82"/>
        <v>0</v>
      </c>
      <c r="G234" s="77">
        <f t="shared" si="83"/>
        <v>0</v>
      </c>
      <c r="H234" s="79">
        <f t="shared" si="84"/>
        <v>0</v>
      </c>
      <c r="I234" s="78">
        <f t="shared" si="85"/>
        <v>0</v>
      </c>
      <c r="J234" s="78">
        <f t="shared" si="86"/>
        <v>0</v>
      </c>
      <c r="Q234">
        <f t="shared" si="46"/>
        <v>0</v>
      </c>
    </row>
    <row r="235" spans="1:17" ht="12.75">
      <c r="A235" s="73"/>
      <c r="B235" s="74"/>
      <c r="C235" s="99"/>
      <c r="D235" s="75">
        <f t="shared" si="81"/>
        <v>0</v>
      </c>
      <c r="E235" s="75"/>
      <c r="F235" s="76">
        <f aca="true" t="shared" si="87" ref="F235:F241">IF(E236&gt;0,E236-E235,0)</f>
        <v>0</v>
      </c>
      <c r="G235" s="77">
        <f aca="true" t="shared" si="88" ref="G235:G241">IF(F235&gt;0,B235/F235*100,0)</f>
        <v>0</v>
      </c>
      <c r="H235" s="79">
        <f aca="true" t="shared" si="89" ref="H235:H241">IF(F235&gt;0,D235/F235,0)</f>
        <v>0</v>
      </c>
      <c r="I235" s="78">
        <f aca="true" t="shared" si="90" ref="I235:I241">IF(F235&gt;0,A236-A235,0)</f>
        <v>0</v>
      </c>
      <c r="J235" s="78">
        <f aca="true" t="shared" si="91" ref="J235:J241">IF(F235&gt;0,F235/I235,0)</f>
        <v>0</v>
      </c>
      <c r="Q235">
        <f t="shared" si="46"/>
        <v>0</v>
      </c>
    </row>
    <row r="236" spans="1:17" ht="12.75">
      <c r="A236" s="73"/>
      <c r="B236" s="74"/>
      <c r="C236" s="99"/>
      <c r="D236" s="75">
        <f t="shared" si="81"/>
        <v>0</v>
      </c>
      <c r="E236" s="75"/>
      <c r="F236" s="76">
        <f t="shared" si="87"/>
        <v>0</v>
      </c>
      <c r="G236" s="77">
        <f t="shared" si="88"/>
        <v>0</v>
      </c>
      <c r="H236" s="79">
        <f t="shared" si="89"/>
        <v>0</v>
      </c>
      <c r="I236" s="78">
        <f t="shared" si="90"/>
        <v>0</v>
      </c>
      <c r="J236" s="78">
        <f t="shared" si="91"/>
        <v>0</v>
      </c>
      <c r="Q236">
        <f t="shared" si="46"/>
        <v>0</v>
      </c>
    </row>
    <row r="237" spans="1:17" ht="12.75">
      <c r="A237" s="73"/>
      <c r="B237" s="74"/>
      <c r="C237" s="99"/>
      <c r="D237" s="75">
        <f t="shared" si="81"/>
        <v>0</v>
      </c>
      <c r="E237" s="75"/>
      <c r="F237" s="76">
        <f t="shared" si="87"/>
        <v>0</v>
      </c>
      <c r="G237" s="77">
        <f t="shared" si="88"/>
        <v>0</v>
      </c>
      <c r="H237" s="79">
        <f t="shared" si="89"/>
        <v>0</v>
      </c>
      <c r="I237" s="78">
        <f t="shared" si="90"/>
        <v>0</v>
      </c>
      <c r="J237" s="78">
        <f t="shared" si="91"/>
        <v>0</v>
      </c>
      <c r="Q237">
        <f t="shared" si="46"/>
        <v>0</v>
      </c>
    </row>
    <row r="238" spans="1:17" ht="12.75">
      <c r="A238" s="73"/>
      <c r="B238" s="74"/>
      <c r="C238" s="99"/>
      <c r="D238" s="75">
        <f t="shared" si="81"/>
        <v>0</v>
      </c>
      <c r="E238" s="75"/>
      <c r="F238" s="76">
        <f t="shared" si="87"/>
        <v>0</v>
      </c>
      <c r="G238" s="77">
        <f t="shared" si="88"/>
        <v>0</v>
      </c>
      <c r="H238" s="79">
        <f t="shared" si="89"/>
        <v>0</v>
      </c>
      <c r="I238" s="78">
        <f t="shared" si="90"/>
        <v>0</v>
      </c>
      <c r="J238" s="78">
        <f t="shared" si="91"/>
        <v>0</v>
      </c>
      <c r="Q238">
        <f t="shared" si="46"/>
        <v>0</v>
      </c>
    </row>
    <row r="239" spans="1:17" ht="12.75">
      <c r="A239" s="73"/>
      <c r="B239" s="74"/>
      <c r="C239" s="99"/>
      <c r="D239" s="75">
        <f t="shared" si="81"/>
        <v>0</v>
      </c>
      <c r="E239" s="75"/>
      <c r="F239" s="76">
        <f t="shared" si="87"/>
        <v>0</v>
      </c>
      <c r="G239" s="77">
        <f t="shared" si="88"/>
        <v>0</v>
      </c>
      <c r="H239" s="79">
        <f t="shared" si="89"/>
        <v>0</v>
      </c>
      <c r="I239" s="78">
        <f t="shared" si="90"/>
        <v>0</v>
      </c>
      <c r="J239" s="78">
        <f t="shared" si="91"/>
        <v>0</v>
      </c>
      <c r="Q239">
        <f t="shared" si="46"/>
        <v>0</v>
      </c>
    </row>
    <row r="240" spans="1:17" ht="12.75">
      <c r="A240" s="73"/>
      <c r="B240" s="74"/>
      <c r="C240" s="99"/>
      <c r="D240" s="75">
        <f t="shared" si="81"/>
        <v>0</v>
      </c>
      <c r="E240" s="75"/>
      <c r="F240" s="76">
        <f t="shared" si="87"/>
        <v>0</v>
      </c>
      <c r="G240" s="77">
        <f t="shared" si="88"/>
        <v>0</v>
      </c>
      <c r="H240" s="79">
        <f t="shared" si="89"/>
        <v>0</v>
      </c>
      <c r="I240" s="78">
        <f t="shared" si="90"/>
        <v>0</v>
      </c>
      <c r="J240" s="78">
        <f t="shared" si="91"/>
        <v>0</v>
      </c>
      <c r="Q240">
        <f t="shared" si="46"/>
        <v>0</v>
      </c>
    </row>
    <row r="241" spans="1:17" ht="12.75">
      <c r="A241" s="73"/>
      <c r="B241" s="74"/>
      <c r="C241" s="99"/>
      <c r="D241" s="75">
        <f t="shared" si="81"/>
        <v>0</v>
      </c>
      <c r="E241" s="75"/>
      <c r="F241" s="76">
        <f t="shared" si="87"/>
        <v>0</v>
      </c>
      <c r="G241" s="77">
        <f t="shared" si="88"/>
        <v>0</v>
      </c>
      <c r="H241" s="79">
        <f t="shared" si="89"/>
        <v>0</v>
      </c>
      <c r="I241" s="78">
        <f t="shared" si="90"/>
        <v>0</v>
      </c>
      <c r="J241" s="78">
        <f t="shared" si="91"/>
        <v>0</v>
      </c>
      <c r="Q241">
        <f t="shared" si="46"/>
        <v>0</v>
      </c>
    </row>
    <row r="242" spans="1:17" ht="12.75">
      <c r="A242" s="73"/>
      <c r="B242" s="74"/>
      <c r="C242" s="99"/>
      <c r="D242" s="75">
        <f t="shared" si="81"/>
        <v>0</v>
      </c>
      <c r="E242" s="75"/>
      <c r="F242" s="76">
        <f aca="true" t="shared" si="92" ref="F242:F249">IF(E243&gt;0,E243-E242,0)</f>
        <v>0</v>
      </c>
      <c r="G242" s="77">
        <f aca="true" t="shared" si="93" ref="G242:G249">IF(F242&gt;0,B242/F242*100,0)</f>
        <v>0</v>
      </c>
      <c r="H242" s="79">
        <f aca="true" t="shared" si="94" ref="H242:H249">IF(F242&gt;0,D242/F242,0)</f>
        <v>0</v>
      </c>
      <c r="I242" s="78">
        <f aca="true" t="shared" si="95" ref="I242:I249">IF(F242&gt;0,A243-A242,0)</f>
        <v>0</v>
      </c>
      <c r="J242" s="78">
        <f aca="true" t="shared" si="96" ref="J242:J249">IF(F242&gt;0,F242/I242,0)</f>
        <v>0</v>
      </c>
      <c r="Q242">
        <f t="shared" si="46"/>
        <v>0</v>
      </c>
    </row>
    <row r="243" spans="1:17" ht="12.75">
      <c r="A243" s="73"/>
      <c r="B243" s="74"/>
      <c r="C243" s="99"/>
      <c r="D243" s="75">
        <f t="shared" si="81"/>
        <v>0</v>
      </c>
      <c r="E243" s="75"/>
      <c r="F243" s="76">
        <f>IF(E244&gt;0,E244-E243,0)</f>
        <v>0</v>
      </c>
      <c r="G243" s="77">
        <f t="shared" si="93"/>
        <v>0</v>
      </c>
      <c r="H243" s="79">
        <f t="shared" si="94"/>
        <v>0</v>
      </c>
      <c r="I243" s="78">
        <f t="shared" si="95"/>
        <v>0</v>
      </c>
      <c r="J243" s="78">
        <f t="shared" si="96"/>
        <v>0</v>
      </c>
      <c r="Q243">
        <f t="shared" si="46"/>
        <v>0</v>
      </c>
    </row>
    <row r="244" spans="1:17" ht="12.75">
      <c r="A244" s="73"/>
      <c r="B244" s="74"/>
      <c r="C244" s="99"/>
      <c r="D244" s="75">
        <f t="shared" si="81"/>
        <v>0</v>
      </c>
      <c r="E244" s="75"/>
      <c r="F244" s="76">
        <f t="shared" si="92"/>
        <v>0</v>
      </c>
      <c r="G244" s="77">
        <f t="shared" si="93"/>
        <v>0</v>
      </c>
      <c r="H244" s="79">
        <f t="shared" si="94"/>
        <v>0</v>
      </c>
      <c r="I244" s="78">
        <f t="shared" si="95"/>
        <v>0</v>
      </c>
      <c r="J244" s="78">
        <f t="shared" si="96"/>
        <v>0</v>
      </c>
      <c r="Q244">
        <f t="shared" si="46"/>
        <v>0</v>
      </c>
    </row>
    <row r="245" spans="1:17" ht="12.75">
      <c r="A245" s="73"/>
      <c r="B245" s="74"/>
      <c r="C245" s="99"/>
      <c r="D245" s="75">
        <f t="shared" si="81"/>
        <v>0</v>
      </c>
      <c r="E245" s="75"/>
      <c r="F245" s="76">
        <f t="shared" si="92"/>
        <v>0</v>
      </c>
      <c r="G245" s="77">
        <f t="shared" si="93"/>
        <v>0</v>
      </c>
      <c r="H245" s="79">
        <f t="shared" si="94"/>
        <v>0</v>
      </c>
      <c r="I245" s="78">
        <f t="shared" si="95"/>
        <v>0</v>
      </c>
      <c r="J245" s="78">
        <f t="shared" si="96"/>
        <v>0</v>
      </c>
      <c r="Q245">
        <f t="shared" si="46"/>
        <v>0</v>
      </c>
    </row>
    <row r="246" spans="1:17" ht="12.75">
      <c r="A246" s="73"/>
      <c r="B246" s="74"/>
      <c r="C246" s="99"/>
      <c r="D246" s="75">
        <f t="shared" si="81"/>
        <v>0</v>
      </c>
      <c r="E246" s="75"/>
      <c r="F246" s="76">
        <f t="shared" si="92"/>
        <v>0</v>
      </c>
      <c r="G246" s="77">
        <f t="shared" si="93"/>
        <v>0</v>
      </c>
      <c r="H246" s="79">
        <f t="shared" si="94"/>
        <v>0</v>
      </c>
      <c r="I246" s="78">
        <f t="shared" si="95"/>
        <v>0</v>
      </c>
      <c r="J246" s="78">
        <f t="shared" si="96"/>
        <v>0</v>
      </c>
      <c r="Q246">
        <f t="shared" si="46"/>
        <v>0</v>
      </c>
    </row>
    <row r="247" spans="1:17" ht="12.75">
      <c r="A247" s="73"/>
      <c r="B247" s="74"/>
      <c r="C247" s="99"/>
      <c r="D247" s="75">
        <f t="shared" si="81"/>
        <v>0</v>
      </c>
      <c r="E247" s="75"/>
      <c r="F247" s="76">
        <f t="shared" si="92"/>
        <v>0</v>
      </c>
      <c r="G247" s="77">
        <f t="shared" si="93"/>
        <v>0</v>
      </c>
      <c r="H247" s="79">
        <f t="shared" si="94"/>
        <v>0</v>
      </c>
      <c r="I247" s="78">
        <f t="shared" si="95"/>
        <v>0</v>
      </c>
      <c r="J247" s="78">
        <f t="shared" si="96"/>
        <v>0</v>
      </c>
      <c r="Q247">
        <f t="shared" si="46"/>
        <v>0</v>
      </c>
    </row>
    <row r="248" spans="1:17" ht="12.75">
      <c r="A248" s="73"/>
      <c r="B248" s="74"/>
      <c r="C248" s="99"/>
      <c r="D248" s="75">
        <f t="shared" si="81"/>
        <v>0</v>
      </c>
      <c r="E248" s="75"/>
      <c r="F248" s="76">
        <f t="shared" si="92"/>
        <v>0</v>
      </c>
      <c r="G248" s="77">
        <f t="shared" si="93"/>
        <v>0</v>
      </c>
      <c r="H248" s="79">
        <f t="shared" si="94"/>
        <v>0</v>
      </c>
      <c r="I248" s="78">
        <f t="shared" si="95"/>
        <v>0</v>
      </c>
      <c r="J248" s="78">
        <f t="shared" si="96"/>
        <v>0</v>
      </c>
      <c r="Q248">
        <f>IF(F248=0,0,CONCATENATE(TEXT(YEAR(A248),0),TEXT(MONTH(A248),0)))</f>
        <v>0</v>
      </c>
    </row>
    <row r="249" spans="1:17" ht="12.75">
      <c r="A249" s="73"/>
      <c r="B249" s="74"/>
      <c r="C249" s="99"/>
      <c r="D249" s="75">
        <f t="shared" si="81"/>
        <v>0</v>
      </c>
      <c r="E249" s="75"/>
      <c r="F249" s="76">
        <f t="shared" si="92"/>
        <v>0</v>
      </c>
      <c r="G249" s="77">
        <f t="shared" si="93"/>
        <v>0</v>
      </c>
      <c r="H249" s="79">
        <f t="shared" si="94"/>
        <v>0</v>
      </c>
      <c r="I249" s="78">
        <f t="shared" si="95"/>
        <v>0</v>
      </c>
      <c r="J249" s="78">
        <f t="shared" si="96"/>
        <v>0</v>
      </c>
      <c r="Q249">
        <f>IF(F249=0,0,CONCATENATE(TEXT(YEAR(A249),0),TEXT(MONTH(A249),0)))</f>
        <v>0</v>
      </c>
    </row>
    <row r="250" spans="1:17" ht="12.75">
      <c r="A250" s="73"/>
      <c r="B250" s="74"/>
      <c r="C250" s="99"/>
      <c r="D250" s="75">
        <f t="shared" si="81"/>
        <v>0</v>
      </c>
      <c r="E250" s="75"/>
      <c r="F250" s="76">
        <f aca="true" t="shared" si="97" ref="F250:F266">IF(E251&gt;0,E251-E250,0)</f>
        <v>0</v>
      </c>
      <c r="G250" s="77">
        <f aca="true" t="shared" si="98" ref="G250:G266">IF(F250&gt;0,B250/F250*100,0)</f>
        <v>0</v>
      </c>
      <c r="H250" s="79">
        <f aca="true" t="shared" si="99" ref="H250:H266">IF(F250&gt;0,D250/F250,0)</f>
        <v>0</v>
      </c>
      <c r="I250" s="78">
        <f aca="true" t="shared" si="100" ref="I250:I266">IF(F250&gt;0,A251-A250,0)</f>
        <v>0</v>
      </c>
      <c r="J250" s="78">
        <f aca="true" t="shared" si="101" ref="J250:J266">IF(F250&gt;0,F250/I250,0)</f>
        <v>0</v>
      </c>
      <c r="Q250">
        <f aca="true" t="shared" si="102" ref="Q250:Q317">IF(F250=0,0,CONCATENATE(TEXT(YEAR(A250),0),TEXT(MONTH(A250),0)))</f>
        <v>0</v>
      </c>
    </row>
    <row r="251" spans="1:17" ht="12.75">
      <c r="A251" s="73"/>
      <c r="B251" s="74"/>
      <c r="C251" s="99"/>
      <c r="D251" s="75">
        <f t="shared" si="81"/>
        <v>0</v>
      </c>
      <c r="E251" s="75"/>
      <c r="F251" s="76">
        <f>IF(E252&gt;0,E252-E251,0)</f>
        <v>0</v>
      </c>
      <c r="G251" s="77">
        <f t="shared" si="98"/>
        <v>0</v>
      </c>
      <c r="H251" s="79">
        <f t="shared" si="99"/>
        <v>0</v>
      </c>
      <c r="I251" s="78">
        <f t="shared" si="100"/>
        <v>0</v>
      </c>
      <c r="J251" s="78">
        <f t="shared" si="101"/>
        <v>0</v>
      </c>
      <c r="Q251">
        <f t="shared" si="102"/>
        <v>0</v>
      </c>
    </row>
    <row r="252" spans="1:17" ht="12.75">
      <c r="A252" s="73"/>
      <c r="B252" s="74"/>
      <c r="C252" s="99"/>
      <c r="D252" s="75">
        <f t="shared" si="81"/>
        <v>0</v>
      </c>
      <c r="E252" s="75"/>
      <c r="F252" s="76">
        <f t="shared" si="97"/>
        <v>0</v>
      </c>
      <c r="G252" s="77">
        <f t="shared" si="98"/>
        <v>0</v>
      </c>
      <c r="H252" s="79">
        <f t="shared" si="99"/>
        <v>0</v>
      </c>
      <c r="I252" s="78">
        <f t="shared" si="100"/>
        <v>0</v>
      </c>
      <c r="J252" s="78">
        <f t="shared" si="101"/>
        <v>0</v>
      </c>
      <c r="Q252">
        <f t="shared" si="102"/>
        <v>0</v>
      </c>
    </row>
    <row r="253" spans="1:17" ht="12.75">
      <c r="A253" s="73"/>
      <c r="B253" s="74"/>
      <c r="C253" s="99"/>
      <c r="D253" s="75">
        <f t="shared" si="81"/>
        <v>0</v>
      </c>
      <c r="E253" s="75"/>
      <c r="F253" s="76">
        <f t="shared" si="97"/>
        <v>0</v>
      </c>
      <c r="G253" s="77">
        <f t="shared" si="98"/>
        <v>0</v>
      </c>
      <c r="H253" s="79">
        <f t="shared" si="99"/>
        <v>0</v>
      </c>
      <c r="I253" s="78">
        <f t="shared" si="100"/>
        <v>0</v>
      </c>
      <c r="J253" s="78">
        <f t="shared" si="101"/>
        <v>0</v>
      </c>
      <c r="Q253">
        <f t="shared" si="102"/>
        <v>0</v>
      </c>
    </row>
    <row r="254" spans="1:17" ht="12.75">
      <c r="A254" s="73"/>
      <c r="B254" s="74"/>
      <c r="C254" s="99"/>
      <c r="D254" s="75">
        <f t="shared" si="81"/>
        <v>0</v>
      </c>
      <c r="E254" s="75"/>
      <c r="F254" s="76">
        <f t="shared" si="97"/>
        <v>0</v>
      </c>
      <c r="G254" s="77">
        <f t="shared" si="98"/>
        <v>0</v>
      </c>
      <c r="H254" s="79">
        <f t="shared" si="99"/>
        <v>0</v>
      </c>
      <c r="I254" s="78">
        <f t="shared" si="100"/>
        <v>0</v>
      </c>
      <c r="J254" s="78">
        <f t="shared" si="101"/>
        <v>0</v>
      </c>
      <c r="Q254">
        <f t="shared" si="102"/>
        <v>0</v>
      </c>
    </row>
    <row r="255" spans="1:17" ht="12.75">
      <c r="A255" s="73"/>
      <c r="B255" s="74"/>
      <c r="C255" s="99"/>
      <c r="D255" s="75">
        <f t="shared" si="81"/>
        <v>0</v>
      </c>
      <c r="E255" s="75"/>
      <c r="F255" s="76">
        <f t="shared" si="97"/>
        <v>0</v>
      </c>
      <c r="G255" s="77">
        <f t="shared" si="98"/>
        <v>0</v>
      </c>
      <c r="H255" s="79">
        <f t="shared" si="99"/>
        <v>0</v>
      </c>
      <c r="I255" s="78">
        <f t="shared" si="100"/>
        <v>0</v>
      </c>
      <c r="J255" s="78">
        <f t="shared" si="101"/>
        <v>0</v>
      </c>
      <c r="Q255">
        <f t="shared" si="102"/>
        <v>0</v>
      </c>
    </row>
    <row r="256" spans="1:17" ht="12.75">
      <c r="A256" s="73"/>
      <c r="B256" s="74"/>
      <c r="C256" s="99"/>
      <c r="D256" s="75">
        <f t="shared" si="81"/>
        <v>0</v>
      </c>
      <c r="E256" s="75"/>
      <c r="F256" s="76">
        <f t="shared" si="97"/>
        <v>0</v>
      </c>
      <c r="G256" s="77">
        <f t="shared" si="98"/>
        <v>0</v>
      </c>
      <c r="H256" s="79">
        <f t="shared" si="99"/>
        <v>0</v>
      </c>
      <c r="I256" s="78">
        <f t="shared" si="100"/>
        <v>0</v>
      </c>
      <c r="J256" s="78">
        <f t="shared" si="101"/>
        <v>0</v>
      </c>
      <c r="Q256">
        <f t="shared" si="102"/>
        <v>0</v>
      </c>
    </row>
    <row r="257" spans="1:17" ht="12.75">
      <c r="A257" s="73"/>
      <c r="B257" s="74"/>
      <c r="C257" s="99"/>
      <c r="D257" s="75">
        <f t="shared" si="81"/>
        <v>0</v>
      </c>
      <c r="E257" s="75"/>
      <c r="F257" s="76">
        <f t="shared" si="97"/>
        <v>0</v>
      </c>
      <c r="G257" s="77">
        <f t="shared" si="98"/>
        <v>0</v>
      </c>
      <c r="H257" s="79">
        <f t="shared" si="99"/>
        <v>0</v>
      </c>
      <c r="I257" s="78">
        <f t="shared" si="100"/>
        <v>0</v>
      </c>
      <c r="J257" s="78">
        <f t="shared" si="101"/>
        <v>0</v>
      </c>
      <c r="Q257">
        <f t="shared" si="102"/>
        <v>0</v>
      </c>
    </row>
    <row r="258" spans="1:17" ht="12.75">
      <c r="A258" s="73"/>
      <c r="B258" s="74"/>
      <c r="C258" s="99"/>
      <c r="D258" s="75">
        <f t="shared" si="81"/>
        <v>0</v>
      </c>
      <c r="E258" s="75"/>
      <c r="F258" s="76">
        <f t="shared" si="97"/>
        <v>0</v>
      </c>
      <c r="G258" s="77">
        <f t="shared" si="98"/>
        <v>0</v>
      </c>
      <c r="H258" s="79">
        <f t="shared" si="99"/>
        <v>0</v>
      </c>
      <c r="I258" s="78">
        <f t="shared" si="100"/>
        <v>0</v>
      </c>
      <c r="J258" s="78">
        <f t="shared" si="101"/>
        <v>0</v>
      </c>
      <c r="Q258">
        <f t="shared" si="102"/>
        <v>0</v>
      </c>
    </row>
    <row r="259" spans="1:17" ht="12.75">
      <c r="A259" s="73"/>
      <c r="B259" s="74"/>
      <c r="C259" s="99"/>
      <c r="D259" s="75">
        <f t="shared" si="81"/>
        <v>0</v>
      </c>
      <c r="E259" s="75"/>
      <c r="F259" s="76">
        <f t="shared" si="97"/>
        <v>0</v>
      </c>
      <c r="G259" s="77">
        <f t="shared" si="98"/>
        <v>0</v>
      </c>
      <c r="H259" s="79">
        <f t="shared" si="99"/>
        <v>0</v>
      </c>
      <c r="I259" s="78">
        <f t="shared" si="100"/>
        <v>0</v>
      </c>
      <c r="J259" s="78">
        <f t="shared" si="101"/>
        <v>0</v>
      </c>
      <c r="Q259">
        <f t="shared" si="102"/>
        <v>0</v>
      </c>
    </row>
    <row r="260" spans="1:17" ht="12.75">
      <c r="A260" s="73"/>
      <c r="B260" s="74"/>
      <c r="C260" s="99"/>
      <c r="D260" s="75">
        <f t="shared" si="81"/>
        <v>0</v>
      </c>
      <c r="E260" s="75"/>
      <c r="F260" s="76">
        <f t="shared" si="97"/>
        <v>0</v>
      </c>
      <c r="G260" s="77">
        <f t="shared" si="98"/>
        <v>0</v>
      </c>
      <c r="H260" s="79">
        <f t="shared" si="99"/>
        <v>0</v>
      </c>
      <c r="I260" s="78">
        <f t="shared" si="100"/>
        <v>0</v>
      </c>
      <c r="J260" s="78">
        <f t="shared" si="101"/>
        <v>0</v>
      </c>
      <c r="Q260">
        <f t="shared" si="102"/>
        <v>0</v>
      </c>
    </row>
    <row r="261" spans="1:17" ht="12.75">
      <c r="A261" s="73"/>
      <c r="B261" s="74"/>
      <c r="C261" s="99"/>
      <c r="D261" s="75">
        <f t="shared" si="81"/>
        <v>0</v>
      </c>
      <c r="E261" s="75"/>
      <c r="F261" s="76">
        <f t="shared" si="97"/>
        <v>0</v>
      </c>
      <c r="G261" s="77">
        <f t="shared" si="98"/>
        <v>0</v>
      </c>
      <c r="H261" s="79">
        <f t="shared" si="99"/>
        <v>0</v>
      </c>
      <c r="I261" s="78">
        <f t="shared" si="100"/>
        <v>0</v>
      </c>
      <c r="J261" s="78">
        <f t="shared" si="101"/>
        <v>0</v>
      </c>
      <c r="Q261">
        <f t="shared" si="102"/>
        <v>0</v>
      </c>
    </row>
    <row r="262" spans="1:17" ht="12.75">
      <c r="A262" s="73"/>
      <c r="B262" s="74"/>
      <c r="C262" s="99"/>
      <c r="D262" s="75">
        <f t="shared" si="81"/>
        <v>0</v>
      </c>
      <c r="E262" s="75"/>
      <c r="F262" s="76">
        <f t="shared" si="97"/>
        <v>0</v>
      </c>
      <c r="G262" s="77">
        <f t="shared" si="98"/>
        <v>0</v>
      </c>
      <c r="H262" s="79">
        <f t="shared" si="99"/>
        <v>0</v>
      </c>
      <c r="I262" s="78">
        <f t="shared" si="100"/>
        <v>0</v>
      </c>
      <c r="J262" s="78">
        <f t="shared" si="101"/>
        <v>0</v>
      </c>
      <c r="Q262">
        <f t="shared" si="102"/>
        <v>0</v>
      </c>
    </row>
    <row r="263" spans="1:17" ht="12.75">
      <c r="A263" s="73"/>
      <c r="B263" s="74"/>
      <c r="C263" s="99"/>
      <c r="D263" s="75">
        <f t="shared" si="81"/>
        <v>0</v>
      </c>
      <c r="E263" s="75"/>
      <c r="F263" s="76">
        <f t="shared" si="97"/>
        <v>0</v>
      </c>
      <c r="G263" s="77">
        <f t="shared" si="98"/>
        <v>0</v>
      </c>
      <c r="H263" s="79">
        <f t="shared" si="99"/>
        <v>0</v>
      </c>
      <c r="I263" s="78">
        <f t="shared" si="100"/>
        <v>0</v>
      </c>
      <c r="J263" s="78">
        <f t="shared" si="101"/>
        <v>0</v>
      </c>
      <c r="Q263">
        <f t="shared" si="102"/>
        <v>0</v>
      </c>
    </row>
    <row r="264" spans="1:17" ht="12.75">
      <c r="A264" s="73"/>
      <c r="B264" s="74"/>
      <c r="C264" s="99"/>
      <c r="D264" s="75">
        <f t="shared" si="81"/>
        <v>0</v>
      </c>
      <c r="E264" s="75"/>
      <c r="F264" s="76">
        <f t="shared" si="97"/>
        <v>0</v>
      </c>
      <c r="G264" s="77">
        <f t="shared" si="98"/>
        <v>0</v>
      </c>
      <c r="H264" s="79">
        <f t="shared" si="99"/>
        <v>0</v>
      </c>
      <c r="I264" s="78">
        <f t="shared" si="100"/>
        <v>0</v>
      </c>
      <c r="J264" s="78">
        <f t="shared" si="101"/>
        <v>0</v>
      </c>
      <c r="Q264">
        <f t="shared" si="102"/>
        <v>0</v>
      </c>
    </row>
    <row r="265" spans="1:17" ht="12.75">
      <c r="A265" s="73"/>
      <c r="B265" s="74"/>
      <c r="C265" s="99"/>
      <c r="D265" s="75">
        <f t="shared" si="81"/>
        <v>0</v>
      </c>
      <c r="E265" s="75"/>
      <c r="F265" s="76">
        <f t="shared" si="97"/>
        <v>0</v>
      </c>
      <c r="G265" s="77">
        <f t="shared" si="98"/>
        <v>0</v>
      </c>
      <c r="H265" s="79">
        <f t="shared" si="99"/>
        <v>0</v>
      </c>
      <c r="I265" s="78">
        <f t="shared" si="100"/>
        <v>0</v>
      </c>
      <c r="J265" s="78">
        <f t="shared" si="101"/>
        <v>0</v>
      </c>
      <c r="Q265">
        <f t="shared" si="102"/>
        <v>0</v>
      </c>
    </row>
    <row r="266" spans="1:17" ht="12.75">
      <c r="A266" s="73"/>
      <c r="B266" s="74"/>
      <c r="C266" s="99"/>
      <c r="D266" s="75">
        <f t="shared" si="81"/>
        <v>0</v>
      </c>
      <c r="E266" s="75"/>
      <c r="F266" s="76">
        <f t="shared" si="97"/>
        <v>0</v>
      </c>
      <c r="G266" s="77">
        <f t="shared" si="98"/>
        <v>0</v>
      </c>
      <c r="H266" s="79">
        <f t="shared" si="99"/>
        <v>0</v>
      </c>
      <c r="I266" s="78">
        <f t="shared" si="100"/>
        <v>0</v>
      </c>
      <c r="J266" s="78">
        <f t="shared" si="101"/>
        <v>0</v>
      </c>
      <c r="Q266">
        <f t="shared" si="102"/>
        <v>0</v>
      </c>
    </row>
    <row r="267" spans="1:17" ht="12.75">
      <c r="A267" s="73"/>
      <c r="B267" s="74"/>
      <c r="C267" s="99"/>
      <c r="D267" s="75">
        <f t="shared" si="81"/>
        <v>0</v>
      </c>
      <c r="E267" s="75"/>
      <c r="F267" s="76">
        <f>IF(E268&gt;0,E268-E267,0)</f>
        <v>0</v>
      </c>
      <c r="G267" s="77">
        <f>IF(F267&gt;0,B267/F267*100,0)</f>
        <v>0</v>
      </c>
      <c r="H267" s="79">
        <f>IF(F267&gt;0,D267/F267,0)</f>
        <v>0</v>
      </c>
      <c r="I267" s="78">
        <f>IF(F267&gt;0,A268-A267,0)</f>
        <v>0</v>
      </c>
      <c r="J267" s="78">
        <f>IF(F267&gt;0,F267/I267,0)</f>
        <v>0</v>
      </c>
      <c r="Q267">
        <f t="shared" si="102"/>
        <v>0</v>
      </c>
    </row>
    <row r="268" spans="1:17" ht="12.75">
      <c r="A268" s="73"/>
      <c r="B268" s="74"/>
      <c r="C268" s="99"/>
      <c r="D268" s="75">
        <f aca="true" t="shared" si="103" ref="D268:D275">B268*C268</f>
        <v>0</v>
      </c>
      <c r="E268" s="75"/>
      <c r="F268" s="76">
        <f aca="true" t="shared" si="104" ref="F268:F274">IF(E269&gt;0,E269-E268,0)</f>
        <v>0</v>
      </c>
      <c r="G268" s="77">
        <f aca="true" t="shared" si="105" ref="G268:G275">IF(F268&gt;0,B268/F268*100,0)</f>
        <v>0</v>
      </c>
      <c r="H268" s="79">
        <f aca="true" t="shared" si="106" ref="H268:H274">IF(F268&gt;0,D268/F268,0)</f>
        <v>0</v>
      </c>
      <c r="I268" s="78">
        <f aca="true" t="shared" si="107" ref="I268:I274">IF(F268&gt;0,A269-A268,0)</f>
        <v>0</v>
      </c>
      <c r="J268" s="78">
        <f aca="true" t="shared" si="108" ref="J268:J274">IF(F268&gt;0,F268/I268,0)</f>
        <v>0</v>
      </c>
      <c r="Q268">
        <f t="shared" si="102"/>
        <v>0</v>
      </c>
    </row>
    <row r="269" spans="1:17" ht="12.75">
      <c r="A269" s="73"/>
      <c r="B269" s="74"/>
      <c r="C269" s="99"/>
      <c r="D269" s="75">
        <f t="shared" si="103"/>
        <v>0</v>
      </c>
      <c r="E269" s="75"/>
      <c r="F269" s="76">
        <f t="shared" si="104"/>
        <v>0</v>
      </c>
      <c r="G269" s="77">
        <f t="shared" si="105"/>
        <v>0</v>
      </c>
      <c r="H269" s="79">
        <f t="shared" si="106"/>
        <v>0</v>
      </c>
      <c r="I269" s="78">
        <f t="shared" si="107"/>
        <v>0</v>
      </c>
      <c r="J269" s="78">
        <f t="shared" si="108"/>
        <v>0</v>
      </c>
      <c r="Q269">
        <f t="shared" si="102"/>
        <v>0</v>
      </c>
    </row>
    <row r="270" spans="1:17" ht="12.75">
      <c r="A270" s="73"/>
      <c r="B270" s="74"/>
      <c r="C270" s="99"/>
      <c r="D270" s="75">
        <f t="shared" si="103"/>
        <v>0</v>
      </c>
      <c r="E270" s="75"/>
      <c r="F270" s="76">
        <f t="shared" si="104"/>
        <v>0</v>
      </c>
      <c r="G270" s="77">
        <f t="shared" si="105"/>
        <v>0</v>
      </c>
      <c r="H270" s="79">
        <f t="shared" si="106"/>
        <v>0</v>
      </c>
      <c r="I270" s="78">
        <f t="shared" si="107"/>
        <v>0</v>
      </c>
      <c r="J270" s="78">
        <f t="shared" si="108"/>
        <v>0</v>
      </c>
      <c r="Q270">
        <f t="shared" si="102"/>
        <v>0</v>
      </c>
    </row>
    <row r="271" spans="1:17" ht="12.75">
      <c r="A271" s="73"/>
      <c r="B271" s="74"/>
      <c r="C271" s="99"/>
      <c r="D271" s="75">
        <f t="shared" si="103"/>
        <v>0</v>
      </c>
      <c r="E271" s="75"/>
      <c r="F271" s="76">
        <f t="shared" si="104"/>
        <v>0</v>
      </c>
      <c r="G271" s="77">
        <f t="shared" si="105"/>
        <v>0</v>
      </c>
      <c r="H271" s="79">
        <f t="shared" si="106"/>
        <v>0</v>
      </c>
      <c r="I271" s="78">
        <f t="shared" si="107"/>
        <v>0</v>
      </c>
      <c r="J271" s="78">
        <f t="shared" si="108"/>
        <v>0</v>
      </c>
      <c r="Q271">
        <f t="shared" si="102"/>
        <v>0</v>
      </c>
    </row>
    <row r="272" spans="1:17" ht="12.75">
      <c r="A272" s="73"/>
      <c r="B272" s="74"/>
      <c r="C272" s="99"/>
      <c r="D272" s="75">
        <f t="shared" si="103"/>
        <v>0</v>
      </c>
      <c r="E272" s="75"/>
      <c r="F272" s="76">
        <f t="shared" si="104"/>
        <v>0</v>
      </c>
      <c r="G272" s="77">
        <f t="shared" si="105"/>
        <v>0</v>
      </c>
      <c r="H272" s="79">
        <f t="shared" si="106"/>
        <v>0</v>
      </c>
      <c r="I272" s="78">
        <f t="shared" si="107"/>
        <v>0</v>
      </c>
      <c r="J272" s="78">
        <f t="shared" si="108"/>
        <v>0</v>
      </c>
      <c r="Q272">
        <f t="shared" si="102"/>
        <v>0</v>
      </c>
    </row>
    <row r="273" spans="1:17" ht="12.75">
      <c r="A273" s="73"/>
      <c r="B273" s="74"/>
      <c r="C273" s="99"/>
      <c r="D273" s="75">
        <f t="shared" si="103"/>
        <v>0</v>
      </c>
      <c r="E273" s="75"/>
      <c r="F273" s="76">
        <f t="shared" si="104"/>
        <v>0</v>
      </c>
      <c r="G273" s="77">
        <f t="shared" si="105"/>
        <v>0</v>
      </c>
      <c r="H273" s="79">
        <f t="shared" si="106"/>
        <v>0</v>
      </c>
      <c r="I273" s="78">
        <f t="shared" si="107"/>
        <v>0</v>
      </c>
      <c r="J273" s="78">
        <f t="shared" si="108"/>
        <v>0</v>
      </c>
      <c r="Q273">
        <f t="shared" si="102"/>
        <v>0</v>
      </c>
    </row>
    <row r="274" spans="1:17" ht="12.75">
      <c r="A274" s="73"/>
      <c r="B274" s="74"/>
      <c r="C274" s="99"/>
      <c r="D274" s="75">
        <f t="shared" si="103"/>
        <v>0</v>
      </c>
      <c r="E274" s="75"/>
      <c r="F274" s="76">
        <f t="shared" si="104"/>
        <v>0</v>
      </c>
      <c r="G274" s="77">
        <f t="shared" si="105"/>
        <v>0</v>
      </c>
      <c r="H274" s="79">
        <f t="shared" si="106"/>
        <v>0</v>
      </c>
      <c r="I274" s="78">
        <f t="shared" si="107"/>
        <v>0</v>
      </c>
      <c r="J274" s="78">
        <f t="shared" si="108"/>
        <v>0</v>
      </c>
      <c r="Q274">
        <f t="shared" si="102"/>
        <v>0</v>
      </c>
    </row>
    <row r="275" spans="1:17" ht="12.75">
      <c r="A275" s="73"/>
      <c r="B275" s="74"/>
      <c r="C275" s="99"/>
      <c r="D275" s="75">
        <f t="shared" si="103"/>
        <v>0</v>
      </c>
      <c r="E275" s="75"/>
      <c r="F275" s="76">
        <f>IF(E276&gt;0,E276-E275,0)</f>
        <v>0</v>
      </c>
      <c r="G275" s="77">
        <f t="shared" si="105"/>
        <v>0</v>
      </c>
      <c r="H275" s="79">
        <f aca="true" t="shared" si="109" ref="H275:H287">IF(F275&gt;0,D275/F275,0)</f>
        <v>0</v>
      </c>
      <c r="I275" s="78">
        <f>IF(F275&gt;0,A276-A275,0)</f>
        <v>0</v>
      </c>
      <c r="J275" s="78">
        <f aca="true" t="shared" si="110" ref="J275:J287">IF(F275&gt;0,F275/I275,0)</f>
        <v>0</v>
      </c>
      <c r="Q275">
        <f t="shared" si="102"/>
        <v>0</v>
      </c>
    </row>
    <row r="276" spans="1:17" ht="12.75">
      <c r="A276" s="73"/>
      <c r="B276" s="74"/>
      <c r="C276" s="99"/>
      <c r="D276" s="75">
        <f aca="true" t="shared" si="111" ref="D276:D293">B276*C276</f>
        <v>0</v>
      </c>
      <c r="E276" s="75"/>
      <c r="F276" s="76">
        <f aca="true" t="shared" si="112" ref="F276:F287">IF(E277&gt;0,E277-E276,0)</f>
        <v>0</v>
      </c>
      <c r="G276" s="77">
        <f aca="true" t="shared" si="113" ref="G276:G287">IF(F276&gt;0,B276/F276*100,0)</f>
        <v>0</v>
      </c>
      <c r="H276" s="79">
        <f t="shared" si="109"/>
        <v>0</v>
      </c>
      <c r="I276" s="78">
        <f aca="true" t="shared" si="114" ref="I276:I287">IF(F276&gt;0,A277-A276,0)</f>
        <v>0</v>
      </c>
      <c r="J276" s="78">
        <f t="shared" si="110"/>
        <v>0</v>
      </c>
      <c r="Q276">
        <f t="shared" si="102"/>
        <v>0</v>
      </c>
    </row>
    <row r="277" spans="1:17" ht="12.75">
      <c r="A277" s="73"/>
      <c r="B277" s="74"/>
      <c r="C277" s="99"/>
      <c r="D277" s="75">
        <f t="shared" si="111"/>
        <v>0</v>
      </c>
      <c r="E277" s="75"/>
      <c r="F277" s="76">
        <f t="shared" si="112"/>
        <v>0</v>
      </c>
      <c r="G277" s="77">
        <f t="shared" si="113"/>
        <v>0</v>
      </c>
      <c r="H277" s="79">
        <f t="shared" si="109"/>
        <v>0</v>
      </c>
      <c r="I277" s="78">
        <f t="shared" si="114"/>
        <v>0</v>
      </c>
      <c r="J277" s="78">
        <f t="shared" si="110"/>
        <v>0</v>
      </c>
      <c r="Q277">
        <f t="shared" si="102"/>
        <v>0</v>
      </c>
    </row>
    <row r="278" spans="1:17" ht="12.75">
      <c r="A278" s="73"/>
      <c r="B278" s="74"/>
      <c r="C278" s="99"/>
      <c r="D278" s="75">
        <f t="shared" si="111"/>
        <v>0</v>
      </c>
      <c r="E278" s="75"/>
      <c r="F278" s="76">
        <f t="shared" si="112"/>
        <v>0</v>
      </c>
      <c r="G278" s="77">
        <f t="shared" si="113"/>
        <v>0</v>
      </c>
      <c r="H278" s="79">
        <f t="shared" si="109"/>
        <v>0</v>
      </c>
      <c r="I278" s="78">
        <f t="shared" si="114"/>
        <v>0</v>
      </c>
      <c r="J278" s="78">
        <f t="shared" si="110"/>
        <v>0</v>
      </c>
      <c r="Q278">
        <f t="shared" si="102"/>
        <v>0</v>
      </c>
    </row>
    <row r="279" spans="1:17" ht="12.75">
      <c r="A279" s="73"/>
      <c r="B279" s="74"/>
      <c r="C279" s="99"/>
      <c r="D279" s="75">
        <f t="shared" si="111"/>
        <v>0</v>
      </c>
      <c r="E279" s="75"/>
      <c r="F279" s="76">
        <f t="shared" si="112"/>
        <v>0</v>
      </c>
      <c r="G279" s="77">
        <f t="shared" si="113"/>
        <v>0</v>
      </c>
      <c r="H279" s="79">
        <f t="shared" si="109"/>
        <v>0</v>
      </c>
      <c r="I279" s="78">
        <f t="shared" si="114"/>
        <v>0</v>
      </c>
      <c r="J279" s="78">
        <f t="shared" si="110"/>
        <v>0</v>
      </c>
      <c r="Q279">
        <f t="shared" si="102"/>
        <v>0</v>
      </c>
    </row>
    <row r="280" spans="1:17" ht="12.75">
      <c r="A280" s="73"/>
      <c r="B280" s="74"/>
      <c r="C280" s="99"/>
      <c r="D280" s="75">
        <f t="shared" si="111"/>
        <v>0</v>
      </c>
      <c r="E280" s="75"/>
      <c r="F280" s="76">
        <f t="shared" si="112"/>
        <v>0</v>
      </c>
      <c r="G280" s="77">
        <f t="shared" si="113"/>
        <v>0</v>
      </c>
      <c r="H280" s="79">
        <f t="shared" si="109"/>
        <v>0</v>
      </c>
      <c r="I280" s="78">
        <f t="shared" si="114"/>
        <v>0</v>
      </c>
      <c r="J280" s="78">
        <f t="shared" si="110"/>
        <v>0</v>
      </c>
      <c r="Q280">
        <f t="shared" si="102"/>
        <v>0</v>
      </c>
    </row>
    <row r="281" spans="1:17" ht="12.75">
      <c r="A281" s="73"/>
      <c r="B281" s="74"/>
      <c r="C281" s="99"/>
      <c r="D281" s="75">
        <f t="shared" si="111"/>
        <v>0</v>
      </c>
      <c r="E281" s="75"/>
      <c r="F281" s="76">
        <f t="shared" si="112"/>
        <v>0</v>
      </c>
      <c r="G281" s="77">
        <f t="shared" si="113"/>
        <v>0</v>
      </c>
      <c r="H281" s="79">
        <f t="shared" si="109"/>
        <v>0</v>
      </c>
      <c r="I281" s="78">
        <f t="shared" si="114"/>
        <v>0</v>
      </c>
      <c r="J281" s="78">
        <f t="shared" si="110"/>
        <v>0</v>
      </c>
      <c r="Q281">
        <f t="shared" si="102"/>
        <v>0</v>
      </c>
    </row>
    <row r="282" spans="1:17" ht="12.75">
      <c r="A282" s="73"/>
      <c r="B282" s="74"/>
      <c r="C282" s="99"/>
      <c r="D282" s="75">
        <f t="shared" si="111"/>
        <v>0</v>
      </c>
      <c r="E282" s="75"/>
      <c r="F282" s="76">
        <f t="shared" si="112"/>
        <v>0</v>
      </c>
      <c r="G282" s="77">
        <f t="shared" si="113"/>
        <v>0</v>
      </c>
      <c r="H282" s="79">
        <f t="shared" si="109"/>
        <v>0</v>
      </c>
      <c r="I282" s="78">
        <f t="shared" si="114"/>
        <v>0</v>
      </c>
      <c r="J282" s="78">
        <f t="shared" si="110"/>
        <v>0</v>
      </c>
      <c r="Q282">
        <f t="shared" si="102"/>
        <v>0</v>
      </c>
    </row>
    <row r="283" spans="1:17" ht="12.75">
      <c r="A283" s="73"/>
      <c r="B283" s="74"/>
      <c r="C283" s="99"/>
      <c r="D283" s="75">
        <f t="shared" si="111"/>
        <v>0</v>
      </c>
      <c r="E283" s="75"/>
      <c r="F283" s="76">
        <f t="shared" si="112"/>
        <v>0</v>
      </c>
      <c r="G283" s="77">
        <f t="shared" si="113"/>
        <v>0</v>
      </c>
      <c r="H283" s="79">
        <f t="shared" si="109"/>
        <v>0</v>
      </c>
      <c r="I283" s="78">
        <f t="shared" si="114"/>
        <v>0</v>
      </c>
      <c r="J283" s="78">
        <f t="shared" si="110"/>
        <v>0</v>
      </c>
      <c r="Q283">
        <f t="shared" si="102"/>
        <v>0</v>
      </c>
    </row>
    <row r="284" spans="1:17" ht="12.75">
      <c r="A284" s="73"/>
      <c r="B284" s="74"/>
      <c r="C284" s="99"/>
      <c r="D284" s="75">
        <f t="shared" si="111"/>
        <v>0</v>
      </c>
      <c r="E284" s="75"/>
      <c r="F284" s="76">
        <f t="shared" si="112"/>
        <v>0</v>
      </c>
      <c r="G284" s="77">
        <f t="shared" si="113"/>
        <v>0</v>
      </c>
      <c r="H284" s="79">
        <f t="shared" si="109"/>
        <v>0</v>
      </c>
      <c r="I284" s="78">
        <f t="shared" si="114"/>
        <v>0</v>
      </c>
      <c r="J284" s="78">
        <f t="shared" si="110"/>
        <v>0</v>
      </c>
      <c r="Q284">
        <f t="shared" si="102"/>
        <v>0</v>
      </c>
    </row>
    <row r="285" spans="1:17" ht="12.75">
      <c r="A285" s="73"/>
      <c r="B285" s="74"/>
      <c r="C285" s="99"/>
      <c r="D285" s="75">
        <f t="shared" si="111"/>
        <v>0</v>
      </c>
      <c r="E285" s="75"/>
      <c r="F285" s="76">
        <f t="shared" si="112"/>
        <v>0</v>
      </c>
      <c r="G285" s="77">
        <f t="shared" si="113"/>
        <v>0</v>
      </c>
      <c r="H285" s="79">
        <f t="shared" si="109"/>
        <v>0</v>
      </c>
      <c r="I285" s="78">
        <f t="shared" si="114"/>
        <v>0</v>
      </c>
      <c r="J285" s="78">
        <f t="shared" si="110"/>
        <v>0</v>
      </c>
      <c r="Q285">
        <f t="shared" si="102"/>
        <v>0</v>
      </c>
    </row>
    <row r="286" spans="1:17" ht="12.75">
      <c r="A286" s="73"/>
      <c r="B286" s="74"/>
      <c r="C286" s="99"/>
      <c r="D286" s="75">
        <f t="shared" si="111"/>
        <v>0</v>
      </c>
      <c r="E286" s="75"/>
      <c r="F286" s="76">
        <f>IF(E287&gt;0,E287-E286,0)</f>
        <v>0</v>
      </c>
      <c r="G286" s="77">
        <f t="shared" si="113"/>
        <v>0</v>
      </c>
      <c r="H286" s="79">
        <f t="shared" si="109"/>
        <v>0</v>
      </c>
      <c r="I286" s="78">
        <f>IF(F286&gt;0,A287-A286,0)</f>
        <v>0</v>
      </c>
      <c r="J286" s="78">
        <f t="shared" si="110"/>
        <v>0</v>
      </c>
      <c r="Q286">
        <f t="shared" si="102"/>
        <v>0</v>
      </c>
    </row>
    <row r="287" spans="1:17" ht="12.75">
      <c r="A287" s="9"/>
      <c r="B287" s="10"/>
      <c r="C287" s="99"/>
      <c r="D287" s="75">
        <f t="shared" si="111"/>
        <v>0</v>
      </c>
      <c r="E287" s="75"/>
      <c r="F287" s="76">
        <f t="shared" si="112"/>
        <v>0</v>
      </c>
      <c r="G287" s="77">
        <f t="shared" si="113"/>
        <v>0</v>
      </c>
      <c r="H287" s="79">
        <f t="shared" si="109"/>
        <v>0</v>
      </c>
      <c r="I287" s="78">
        <f t="shared" si="114"/>
        <v>0</v>
      </c>
      <c r="J287" s="78">
        <f t="shared" si="110"/>
        <v>0</v>
      </c>
      <c r="Q287">
        <f t="shared" si="102"/>
        <v>0</v>
      </c>
    </row>
    <row r="288" spans="1:17" ht="12.75">
      <c r="A288" s="9"/>
      <c r="B288" s="10"/>
      <c r="C288" s="128"/>
      <c r="D288" s="75">
        <f t="shared" si="111"/>
        <v>0</v>
      </c>
      <c r="E288" s="11"/>
      <c r="F288" s="76">
        <f aca="true" t="shared" si="115" ref="F288:F293">IF(E289&gt;0,E289-E288,0)</f>
        <v>0</v>
      </c>
      <c r="G288" s="77">
        <f aca="true" t="shared" si="116" ref="G288:G293">IF(F288&gt;0,B288/F288*100,0)</f>
        <v>0</v>
      </c>
      <c r="H288" s="79">
        <f aca="true" t="shared" si="117" ref="H288:H293">IF(F288&gt;0,D288/F288,0)</f>
        <v>0</v>
      </c>
      <c r="I288" s="78">
        <f aca="true" t="shared" si="118" ref="I288:I293">IF(F288&gt;0,A289-A288,0)</f>
        <v>0</v>
      </c>
      <c r="J288" s="78">
        <f aca="true" t="shared" si="119" ref="J288:J293">IF(F288&gt;0,F288/I288,0)</f>
        <v>0</v>
      </c>
      <c r="Q288">
        <f t="shared" si="102"/>
        <v>0</v>
      </c>
    </row>
    <row r="289" spans="1:17" ht="12.75">
      <c r="A289" s="9"/>
      <c r="B289" s="10"/>
      <c r="C289" s="128"/>
      <c r="D289" s="75">
        <f t="shared" si="111"/>
        <v>0</v>
      </c>
      <c r="E289" s="11"/>
      <c r="F289" s="76">
        <f t="shared" si="115"/>
        <v>0</v>
      </c>
      <c r="G289" s="77">
        <f t="shared" si="116"/>
        <v>0</v>
      </c>
      <c r="H289" s="79">
        <f t="shared" si="117"/>
        <v>0</v>
      </c>
      <c r="I289" s="78">
        <f t="shared" si="118"/>
        <v>0</v>
      </c>
      <c r="J289" s="78">
        <f t="shared" si="119"/>
        <v>0</v>
      </c>
      <c r="Q289">
        <f t="shared" si="102"/>
        <v>0</v>
      </c>
    </row>
    <row r="290" spans="1:17" ht="12.75">
      <c r="A290" s="9"/>
      <c r="B290" s="10"/>
      <c r="C290" s="128"/>
      <c r="D290" s="75">
        <f t="shared" si="111"/>
        <v>0</v>
      </c>
      <c r="E290" s="11"/>
      <c r="F290" s="76">
        <f t="shared" si="115"/>
        <v>0</v>
      </c>
      <c r="G290" s="77">
        <f t="shared" si="116"/>
        <v>0</v>
      </c>
      <c r="H290" s="79">
        <f t="shared" si="117"/>
        <v>0</v>
      </c>
      <c r="I290" s="78">
        <f t="shared" si="118"/>
        <v>0</v>
      </c>
      <c r="J290" s="78">
        <f t="shared" si="119"/>
        <v>0</v>
      </c>
      <c r="Q290">
        <f t="shared" si="102"/>
        <v>0</v>
      </c>
    </row>
    <row r="291" spans="1:17" ht="12.75">
      <c r="A291" s="9"/>
      <c r="B291" s="10"/>
      <c r="C291" s="128"/>
      <c r="D291" s="75">
        <f t="shared" si="111"/>
        <v>0</v>
      </c>
      <c r="E291" s="11"/>
      <c r="F291" s="76">
        <f t="shared" si="115"/>
        <v>0</v>
      </c>
      <c r="G291" s="77">
        <f t="shared" si="116"/>
        <v>0</v>
      </c>
      <c r="H291" s="79">
        <f t="shared" si="117"/>
        <v>0</v>
      </c>
      <c r="I291" s="78">
        <f t="shared" si="118"/>
        <v>0</v>
      </c>
      <c r="J291" s="78">
        <f t="shared" si="119"/>
        <v>0</v>
      </c>
      <c r="Q291">
        <f t="shared" si="102"/>
        <v>0</v>
      </c>
    </row>
    <row r="292" spans="1:17" ht="12.75">
      <c r="A292" s="9"/>
      <c r="B292" s="10"/>
      <c r="C292" s="128"/>
      <c r="D292" s="75">
        <f t="shared" si="111"/>
        <v>0</v>
      </c>
      <c r="E292" s="11"/>
      <c r="F292" s="76">
        <f t="shared" si="115"/>
        <v>0</v>
      </c>
      <c r="G292" s="77">
        <f t="shared" si="116"/>
        <v>0</v>
      </c>
      <c r="H292" s="79">
        <f t="shared" si="117"/>
        <v>0</v>
      </c>
      <c r="I292" s="78">
        <f t="shared" si="118"/>
        <v>0</v>
      </c>
      <c r="J292" s="78">
        <f t="shared" si="119"/>
        <v>0</v>
      </c>
      <c r="Q292">
        <f t="shared" si="102"/>
        <v>0</v>
      </c>
    </row>
    <row r="293" spans="1:17" ht="12.75">
      <c r="A293" s="9"/>
      <c r="B293" s="10"/>
      <c r="C293" s="128"/>
      <c r="D293" s="75">
        <f t="shared" si="111"/>
        <v>0</v>
      </c>
      <c r="E293" s="11"/>
      <c r="F293" s="76">
        <f t="shared" si="115"/>
        <v>0</v>
      </c>
      <c r="G293" s="77">
        <f t="shared" si="116"/>
        <v>0</v>
      </c>
      <c r="H293" s="79">
        <f t="shared" si="117"/>
        <v>0</v>
      </c>
      <c r="I293" s="78">
        <f t="shared" si="118"/>
        <v>0</v>
      </c>
      <c r="J293" s="78">
        <f t="shared" si="119"/>
        <v>0</v>
      </c>
      <c r="Q293">
        <f t="shared" si="102"/>
        <v>0</v>
      </c>
    </row>
    <row r="294" spans="1:17" ht="12.75">
      <c r="A294" s="9"/>
      <c r="B294" s="10"/>
      <c r="C294" s="128"/>
      <c r="D294" s="75">
        <f aca="true" t="shared" si="120" ref="D294:D300">B294*C294</f>
        <v>0</v>
      </c>
      <c r="E294" s="11"/>
      <c r="F294" s="76">
        <f aca="true" t="shared" si="121" ref="F294:F300">IF(E295&gt;0,E295-E294,0)</f>
        <v>0</v>
      </c>
      <c r="G294" s="77">
        <f aca="true" t="shared" si="122" ref="G294:G300">IF(F294&gt;0,B294/F294*100,0)</f>
        <v>0</v>
      </c>
      <c r="H294" s="79">
        <f aca="true" t="shared" si="123" ref="H294:H300">IF(F294&gt;0,D294/F294,0)</f>
        <v>0</v>
      </c>
      <c r="I294" s="78">
        <f aca="true" t="shared" si="124" ref="I294:I300">IF(F294&gt;0,A295-A294,0)</f>
        <v>0</v>
      </c>
      <c r="J294" s="78">
        <f aca="true" t="shared" si="125" ref="J294:J300">IF(F294&gt;0,F294/I294,0)</f>
        <v>0</v>
      </c>
      <c r="Q294">
        <f t="shared" si="102"/>
        <v>0</v>
      </c>
    </row>
    <row r="295" spans="1:17" ht="12.75">
      <c r="A295" s="9"/>
      <c r="B295" s="10"/>
      <c r="C295" s="128"/>
      <c r="D295" s="75">
        <f t="shared" si="120"/>
        <v>0</v>
      </c>
      <c r="E295" s="11"/>
      <c r="F295" s="76">
        <f t="shared" si="121"/>
        <v>0</v>
      </c>
      <c r="G295" s="77">
        <f t="shared" si="122"/>
        <v>0</v>
      </c>
      <c r="H295" s="79">
        <f t="shared" si="123"/>
        <v>0</v>
      </c>
      <c r="I295" s="78">
        <f t="shared" si="124"/>
        <v>0</v>
      </c>
      <c r="J295" s="78">
        <f t="shared" si="125"/>
        <v>0</v>
      </c>
      <c r="Q295">
        <f t="shared" si="102"/>
        <v>0</v>
      </c>
    </row>
    <row r="296" spans="1:17" ht="12.75">
      <c r="A296" s="9"/>
      <c r="B296" s="10"/>
      <c r="C296" s="128"/>
      <c r="D296" s="75">
        <f t="shared" si="120"/>
        <v>0</v>
      </c>
      <c r="E296" s="11"/>
      <c r="F296" s="76">
        <f t="shared" si="121"/>
        <v>0</v>
      </c>
      <c r="G296" s="77">
        <f t="shared" si="122"/>
        <v>0</v>
      </c>
      <c r="H296" s="79">
        <f t="shared" si="123"/>
        <v>0</v>
      </c>
      <c r="I296" s="78">
        <f t="shared" si="124"/>
        <v>0</v>
      </c>
      <c r="J296" s="78">
        <f t="shared" si="125"/>
        <v>0</v>
      </c>
      <c r="Q296">
        <f t="shared" si="102"/>
        <v>0</v>
      </c>
    </row>
    <row r="297" spans="1:17" ht="12.75">
      <c r="A297" s="9"/>
      <c r="B297" s="10"/>
      <c r="C297" s="128"/>
      <c r="D297" s="75">
        <f t="shared" si="120"/>
        <v>0</v>
      </c>
      <c r="E297" s="11"/>
      <c r="F297" s="76">
        <f t="shared" si="121"/>
        <v>0</v>
      </c>
      <c r="G297" s="77">
        <f t="shared" si="122"/>
        <v>0</v>
      </c>
      <c r="H297" s="79">
        <f t="shared" si="123"/>
        <v>0</v>
      </c>
      <c r="I297" s="78">
        <f t="shared" si="124"/>
        <v>0</v>
      </c>
      <c r="J297" s="78">
        <f t="shared" si="125"/>
        <v>0</v>
      </c>
      <c r="Q297">
        <f t="shared" si="102"/>
        <v>0</v>
      </c>
    </row>
    <row r="298" spans="1:17" ht="12.75">
      <c r="A298" s="9"/>
      <c r="B298" s="10"/>
      <c r="C298" s="128"/>
      <c r="D298" s="75">
        <f t="shared" si="120"/>
        <v>0</v>
      </c>
      <c r="E298" s="11"/>
      <c r="F298" s="76">
        <f t="shared" si="121"/>
        <v>0</v>
      </c>
      <c r="G298" s="77">
        <f t="shared" si="122"/>
        <v>0</v>
      </c>
      <c r="H298" s="79">
        <f t="shared" si="123"/>
        <v>0</v>
      </c>
      <c r="I298" s="78">
        <f t="shared" si="124"/>
        <v>0</v>
      </c>
      <c r="J298" s="78">
        <f t="shared" si="125"/>
        <v>0</v>
      </c>
      <c r="Q298">
        <f t="shared" si="102"/>
        <v>0</v>
      </c>
    </row>
    <row r="299" spans="1:17" ht="12.75">
      <c r="A299" s="9"/>
      <c r="B299" s="10"/>
      <c r="C299" s="128"/>
      <c r="D299" s="75">
        <f t="shared" si="120"/>
        <v>0</v>
      </c>
      <c r="E299" s="11"/>
      <c r="F299" s="76">
        <f t="shared" si="121"/>
        <v>0</v>
      </c>
      <c r="G299" s="77">
        <f t="shared" si="122"/>
        <v>0</v>
      </c>
      <c r="H299" s="79">
        <f t="shared" si="123"/>
        <v>0</v>
      </c>
      <c r="I299" s="78">
        <f t="shared" si="124"/>
        <v>0</v>
      </c>
      <c r="J299" s="78">
        <f t="shared" si="125"/>
        <v>0</v>
      </c>
      <c r="Q299">
        <f t="shared" si="102"/>
        <v>0</v>
      </c>
    </row>
    <row r="300" spans="1:17" ht="12.75">
      <c r="A300" s="9"/>
      <c r="B300" s="10"/>
      <c r="C300" s="128"/>
      <c r="D300" s="75">
        <f t="shared" si="120"/>
        <v>0</v>
      </c>
      <c r="E300" s="11"/>
      <c r="F300" s="76">
        <f t="shared" si="121"/>
        <v>0</v>
      </c>
      <c r="G300" s="77">
        <f t="shared" si="122"/>
        <v>0</v>
      </c>
      <c r="H300" s="79">
        <f t="shared" si="123"/>
        <v>0</v>
      </c>
      <c r="I300" s="78">
        <f t="shared" si="124"/>
        <v>0</v>
      </c>
      <c r="J300" s="78">
        <f t="shared" si="125"/>
        <v>0</v>
      </c>
      <c r="Q300">
        <f t="shared" si="102"/>
        <v>0</v>
      </c>
    </row>
    <row r="301" spans="1:17" ht="12.75">
      <c r="A301" s="9"/>
      <c r="B301" s="10"/>
      <c r="C301" s="128"/>
      <c r="D301" s="75">
        <f>B301*C301</f>
        <v>0</v>
      </c>
      <c r="E301" s="11"/>
      <c r="F301" s="76">
        <f aca="true" t="shared" si="126" ref="F301:F308">IF(E302&gt;0,E302-E301,0)</f>
        <v>0</v>
      </c>
      <c r="G301" s="77">
        <f aca="true" t="shared" si="127" ref="G301:G308">IF(F301&gt;0,B301/F301*100,0)</f>
        <v>0</v>
      </c>
      <c r="H301" s="79">
        <f aca="true" t="shared" si="128" ref="H301:H308">IF(F301&gt;0,D301/F301,0)</f>
        <v>0</v>
      </c>
      <c r="I301" s="78">
        <f aca="true" t="shared" si="129" ref="I301:I308">IF(F301&gt;0,A302-A301,0)</f>
        <v>0</v>
      </c>
      <c r="J301" s="78">
        <f aca="true" t="shared" si="130" ref="J301:J308">IF(F301&gt;0,F301/I301,0)</f>
        <v>0</v>
      </c>
      <c r="Q301">
        <f t="shared" si="102"/>
        <v>0</v>
      </c>
    </row>
    <row r="302" spans="1:17" ht="12.75">
      <c r="A302" s="9"/>
      <c r="B302" s="10"/>
      <c r="C302" s="128"/>
      <c r="D302" s="75">
        <f aca="true" t="shared" si="131" ref="D302:D317">B302*C302</f>
        <v>0</v>
      </c>
      <c r="E302" s="11"/>
      <c r="F302" s="76">
        <f t="shared" si="126"/>
        <v>0</v>
      </c>
      <c r="G302" s="77">
        <f t="shared" si="127"/>
        <v>0</v>
      </c>
      <c r="H302" s="79">
        <f t="shared" si="128"/>
        <v>0</v>
      </c>
      <c r="I302" s="78">
        <f t="shared" si="129"/>
        <v>0</v>
      </c>
      <c r="J302" s="78">
        <f t="shared" si="130"/>
        <v>0</v>
      </c>
      <c r="Q302">
        <f t="shared" si="102"/>
        <v>0</v>
      </c>
    </row>
    <row r="303" spans="1:17" ht="12.75">
      <c r="A303" s="9"/>
      <c r="B303" s="10"/>
      <c r="C303" s="128"/>
      <c r="D303" s="75">
        <f t="shared" si="131"/>
        <v>0</v>
      </c>
      <c r="E303" s="11"/>
      <c r="F303" s="76">
        <f t="shared" si="126"/>
        <v>0</v>
      </c>
      <c r="G303" s="77">
        <f t="shared" si="127"/>
        <v>0</v>
      </c>
      <c r="H303" s="79">
        <f t="shared" si="128"/>
        <v>0</v>
      </c>
      <c r="I303" s="78">
        <f t="shared" si="129"/>
        <v>0</v>
      </c>
      <c r="J303" s="78">
        <f t="shared" si="130"/>
        <v>0</v>
      </c>
      <c r="Q303">
        <f t="shared" si="102"/>
        <v>0</v>
      </c>
    </row>
    <row r="304" spans="1:17" ht="12.75">
      <c r="A304" s="9"/>
      <c r="B304" s="10"/>
      <c r="C304" s="128"/>
      <c r="D304" s="75">
        <f t="shared" si="131"/>
        <v>0</v>
      </c>
      <c r="E304" s="11"/>
      <c r="F304" s="76">
        <f t="shared" si="126"/>
        <v>0</v>
      </c>
      <c r="G304" s="77">
        <f t="shared" si="127"/>
        <v>0</v>
      </c>
      <c r="H304" s="79">
        <f t="shared" si="128"/>
        <v>0</v>
      </c>
      <c r="I304" s="78">
        <f t="shared" si="129"/>
        <v>0</v>
      </c>
      <c r="J304" s="78">
        <f t="shared" si="130"/>
        <v>0</v>
      </c>
      <c r="Q304">
        <f t="shared" si="102"/>
        <v>0</v>
      </c>
    </row>
    <row r="305" spans="1:17" ht="12.75">
      <c r="A305" s="9"/>
      <c r="B305" s="10"/>
      <c r="C305" s="128"/>
      <c r="D305" s="75">
        <f t="shared" si="131"/>
        <v>0</v>
      </c>
      <c r="E305" s="11"/>
      <c r="F305" s="76">
        <f t="shared" si="126"/>
        <v>0</v>
      </c>
      <c r="G305" s="77">
        <f t="shared" si="127"/>
        <v>0</v>
      </c>
      <c r="H305" s="79">
        <f t="shared" si="128"/>
        <v>0</v>
      </c>
      <c r="I305" s="78">
        <f t="shared" si="129"/>
        <v>0</v>
      </c>
      <c r="J305" s="78">
        <f t="shared" si="130"/>
        <v>0</v>
      </c>
      <c r="Q305">
        <f t="shared" si="102"/>
        <v>0</v>
      </c>
    </row>
    <row r="306" spans="1:17" ht="12.75">
      <c r="A306" s="9"/>
      <c r="B306" s="10"/>
      <c r="C306" s="128"/>
      <c r="D306" s="75">
        <f t="shared" si="131"/>
        <v>0</v>
      </c>
      <c r="E306" s="11"/>
      <c r="F306" s="76">
        <f t="shared" si="126"/>
        <v>0</v>
      </c>
      <c r="G306" s="77">
        <f t="shared" si="127"/>
        <v>0</v>
      </c>
      <c r="H306" s="79">
        <f t="shared" si="128"/>
        <v>0</v>
      </c>
      <c r="I306" s="78">
        <f t="shared" si="129"/>
        <v>0</v>
      </c>
      <c r="J306" s="78">
        <f t="shared" si="130"/>
        <v>0</v>
      </c>
      <c r="Q306">
        <f t="shared" si="102"/>
        <v>0</v>
      </c>
    </row>
    <row r="307" spans="1:17" ht="12.75">
      <c r="A307" s="9"/>
      <c r="B307" s="10"/>
      <c r="C307" s="128"/>
      <c r="D307" s="75">
        <f t="shared" si="131"/>
        <v>0</v>
      </c>
      <c r="E307" s="11"/>
      <c r="F307" s="76">
        <f t="shared" si="126"/>
        <v>0</v>
      </c>
      <c r="G307" s="77">
        <f t="shared" si="127"/>
        <v>0</v>
      </c>
      <c r="H307" s="79">
        <f t="shared" si="128"/>
        <v>0</v>
      </c>
      <c r="I307" s="78">
        <f t="shared" si="129"/>
        <v>0</v>
      </c>
      <c r="J307" s="78">
        <f t="shared" si="130"/>
        <v>0</v>
      </c>
      <c r="Q307">
        <f t="shared" si="102"/>
        <v>0</v>
      </c>
    </row>
    <row r="308" spans="1:17" ht="12.75">
      <c r="A308" s="9"/>
      <c r="B308" s="10"/>
      <c r="C308" s="128"/>
      <c r="D308" s="75">
        <f t="shared" si="131"/>
        <v>0</v>
      </c>
      <c r="E308" s="11"/>
      <c r="F308" s="76">
        <f t="shared" si="126"/>
        <v>0</v>
      </c>
      <c r="G308" s="77">
        <f t="shared" si="127"/>
        <v>0</v>
      </c>
      <c r="H308" s="79">
        <f t="shared" si="128"/>
        <v>0</v>
      </c>
      <c r="I308" s="78">
        <f t="shared" si="129"/>
        <v>0</v>
      </c>
      <c r="J308" s="78">
        <f t="shared" si="130"/>
        <v>0</v>
      </c>
      <c r="Q308">
        <f t="shared" si="102"/>
        <v>0</v>
      </c>
    </row>
    <row r="309" spans="1:17" ht="12.75">
      <c r="A309" s="9"/>
      <c r="B309" s="10"/>
      <c r="C309" s="128"/>
      <c r="D309" s="75">
        <f t="shared" si="131"/>
        <v>0</v>
      </c>
      <c r="E309" s="11"/>
      <c r="F309" s="76">
        <f aca="true" t="shared" si="132" ref="F309:F317">IF(E310&gt;0,E310-E309,0)</f>
        <v>0</v>
      </c>
      <c r="G309" s="77">
        <f aca="true" t="shared" si="133" ref="G309:G317">IF(F309&gt;0,B309/F309*100,0)</f>
        <v>0</v>
      </c>
      <c r="H309" s="79">
        <f aca="true" t="shared" si="134" ref="H309:H317">IF(F309&gt;0,D309/F309,0)</f>
        <v>0</v>
      </c>
      <c r="I309" s="78">
        <f aca="true" t="shared" si="135" ref="I309:I317">IF(F309&gt;0,A310-A309,0)</f>
        <v>0</v>
      </c>
      <c r="J309" s="78">
        <f aca="true" t="shared" si="136" ref="J309:J317">IF(F309&gt;0,F309/I309,0)</f>
        <v>0</v>
      </c>
      <c r="Q309">
        <f t="shared" si="102"/>
        <v>0</v>
      </c>
    </row>
    <row r="310" spans="1:17" ht="12.75">
      <c r="A310" s="9"/>
      <c r="B310" s="10"/>
      <c r="C310" s="128"/>
      <c r="D310" s="75">
        <f t="shared" si="131"/>
        <v>0</v>
      </c>
      <c r="E310" s="11"/>
      <c r="F310" s="76">
        <f t="shared" si="132"/>
        <v>0</v>
      </c>
      <c r="G310" s="77">
        <f t="shared" si="133"/>
        <v>0</v>
      </c>
      <c r="H310" s="79">
        <f t="shared" si="134"/>
        <v>0</v>
      </c>
      <c r="I310" s="78">
        <f t="shared" si="135"/>
        <v>0</v>
      </c>
      <c r="J310" s="78">
        <f t="shared" si="136"/>
        <v>0</v>
      </c>
      <c r="Q310">
        <f t="shared" si="102"/>
        <v>0</v>
      </c>
    </row>
    <row r="311" spans="1:17" ht="12.75">
      <c r="A311" s="9"/>
      <c r="B311" s="10"/>
      <c r="C311" s="128"/>
      <c r="D311" s="75">
        <f t="shared" si="131"/>
        <v>0</v>
      </c>
      <c r="E311" s="11"/>
      <c r="F311" s="76">
        <f t="shared" si="132"/>
        <v>0</v>
      </c>
      <c r="G311" s="77">
        <f t="shared" si="133"/>
        <v>0</v>
      </c>
      <c r="H311" s="79">
        <f t="shared" si="134"/>
        <v>0</v>
      </c>
      <c r="I311" s="78">
        <f t="shared" si="135"/>
        <v>0</v>
      </c>
      <c r="J311" s="78">
        <f t="shared" si="136"/>
        <v>0</v>
      </c>
      <c r="Q311">
        <f t="shared" si="102"/>
        <v>0</v>
      </c>
    </row>
    <row r="312" spans="1:17" ht="12.75">
      <c r="A312" s="9"/>
      <c r="B312" s="10"/>
      <c r="C312" s="128"/>
      <c r="D312" s="75">
        <f t="shared" si="131"/>
        <v>0</v>
      </c>
      <c r="E312" s="11"/>
      <c r="F312" s="76">
        <f t="shared" si="132"/>
        <v>0</v>
      </c>
      <c r="G312" s="77">
        <f t="shared" si="133"/>
        <v>0</v>
      </c>
      <c r="H312" s="79">
        <f t="shared" si="134"/>
        <v>0</v>
      </c>
      <c r="I312" s="78">
        <f t="shared" si="135"/>
        <v>0</v>
      </c>
      <c r="J312" s="78">
        <f t="shared" si="136"/>
        <v>0</v>
      </c>
      <c r="Q312">
        <f t="shared" si="102"/>
        <v>0</v>
      </c>
    </row>
    <row r="313" spans="1:10" ht="12.75">
      <c r="A313" s="9"/>
      <c r="B313" s="10"/>
      <c r="C313" s="128"/>
      <c r="D313" s="75">
        <f t="shared" si="131"/>
        <v>0</v>
      </c>
      <c r="E313" s="11"/>
      <c r="F313" s="76">
        <f t="shared" si="132"/>
        <v>0</v>
      </c>
      <c r="G313" s="77">
        <f t="shared" si="133"/>
        <v>0</v>
      </c>
      <c r="H313" s="79">
        <f t="shared" si="134"/>
        <v>0</v>
      </c>
      <c r="I313" s="78">
        <f t="shared" si="135"/>
        <v>0</v>
      </c>
      <c r="J313" s="78">
        <f t="shared" si="136"/>
        <v>0</v>
      </c>
    </row>
    <row r="314" spans="1:10" ht="12.75">
      <c r="A314" s="9"/>
      <c r="B314" s="10"/>
      <c r="C314" s="128"/>
      <c r="D314" s="75">
        <f t="shared" si="131"/>
        <v>0</v>
      </c>
      <c r="E314" s="11"/>
      <c r="F314" s="76">
        <f t="shared" si="132"/>
        <v>0</v>
      </c>
      <c r="G314" s="77">
        <f t="shared" si="133"/>
        <v>0</v>
      </c>
      <c r="H314" s="79">
        <f t="shared" si="134"/>
        <v>0</v>
      </c>
      <c r="I314" s="78">
        <f t="shared" si="135"/>
        <v>0</v>
      </c>
      <c r="J314" s="78">
        <f t="shared" si="136"/>
        <v>0</v>
      </c>
    </row>
    <row r="315" spans="1:10" ht="12.75">
      <c r="A315" s="9"/>
      <c r="B315" s="10"/>
      <c r="C315" s="128"/>
      <c r="D315" s="75">
        <f t="shared" si="131"/>
        <v>0</v>
      </c>
      <c r="E315" s="11"/>
      <c r="F315" s="76">
        <f t="shared" si="132"/>
        <v>0</v>
      </c>
      <c r="G315" s="77">
        <f t="shared" si="133"/>
        <v>0</v>
      </c>
      <c r="H315" s="79">
        <f t="shared" si="134"/>
        <v>0</v>
      </c>
      <c r="I315" s="78">
        <f t="shared" si="135"/>
        <v>0</v>
      </c>
      <c r="J315" s="78">
        <f t="shared" si="136"/>
        <v>0</v>
      </c>
    </row>
    <row r="316" spans="1:17" ht="12.75">
      <c r="A316" s="9"/>
      <c r="B316" s="10"/>
      <c r="C316" s="128"/>
      <c r="D316" s="75">
        <f t="shared" si="131"/>
        <v>0</v>
      </c>
      <c r="E316" s="11"/>
      <c r="F316" s="76">
        <f t="shared" si="132"/>
        <v>0</v>
      </c>
      <c r="G316" s="77">
        <f t="shared" si="133"/>
        <v>0</v>
      </c>
      <c r="H316" s="79">
        <f t="shared" si="134"/>
        <v>0</v>
      </c>
      <c r="I316" s="78">
        <f t="shared" si="135"/>
        <v>0</v>
      </c>
      <c r="J316" s="78">
        <f t="shared" si="136"/>
        <v>0</v>
      </c>
      <c r="Q316">
        <f t="shared" si="102"/>
        <v>0</v>
      </c>
    </row>
    <row r="317" spans="1:17" ht="12.75">
      <c r="A317" s="9"/>
      <c r="B317" s="10"/>
      <c r="C317" s="128"/>
      <c r="D317" s="75">
        <f t="shared" si="131"/>
        <v>0</v>
      </c>
      <c r="E317" s="11"/>
      <c r="F317" s="76">
        <f t="shared" si="132"/>
        <v>0</v>
      </c>
      <c r="G317" s="77">
        <f t="shared" si="133"/>
        <v>0</v>
      </c>
      <c r="H317" s="79">
        <f t="shared" si="134"/>
        <v>0</v>
      </c>
      <c r="I317" s="78">
        <f t="shared" si="135"/>
        <v>0</v>
      </c>
      <c r="J317" s="78">
        <f t="shared" si="136"/>
        <v>0</v>
      </c>
      <c r="Q317">
        <f t="shared" si="102"/>
        <v>0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253"/>
  <sheetViews>
    <sheetView showZeros="0" zoomScalePageLayoutView="0" workbookViewId="0" topLeftCell="A4">
      <selection activeCell="R92" sqref="R92"/>
    </sheetView>
  </sheetViews>
  <sheetFormatPr defaultColWidth="9.00390625" defaultRowHeight="12.75"/>
  <cols>
    <col min="1" max="1" width="12.125" style="18" customWidth="1"/>
    <col min="2" max="2" width="38.625" style="26" customWidth="1"/>
    <col min="3" max="3" width="9.00390625" style="23" customWidth="1"/>
    <col min="4" max="4" width="2.625" style="25" customWidth="1"/>
    <col min="5" max="5" width="29.375" style="0" customWidth="1"/>
    <col min="6" max="6" width="6.00390625" style="144" bestFit="1" customWidth="1"/>
    <col min="7" max="15" width="1.75390625" style="0" customWidth="1"/>
    <col min="16" max="16" width="7.75390625" style="0" customWidth="1"/>
    <col min="17" max="17" width="31.25390625" style="69" customWidth="1"/>
  </cols>
  <sheetData>
    <row r="1" spans="1:17" ht="12.75">
      <c r="A1" s="1" t="s">
        <v>0</v>
      </c>
      <c r="B1" s="20" t="s">
        <v>23</v>
      </c>
      <c r="C1" s="21" t="s">
        <v>2</v>
      </c>
      <c r="D1" s="22" t="s">
        <v>26</v>
      </c>
      <c r="E1" s="20" t="s">
        <v>25</v>
      </c>
      <c r="Q1" s="20" t="s">
        <v>51</v>
      </c>
    </row>
    <row r="2" spans="1:17" ht="12.75">
      <c r="A2" s="1"/>
      <c r="B2" s="20"/>
      <c r="C2" s="21"/>
      <c r="D2" s="22"/>
      <c r="E2" s="20"/>
      <c r="Q2" s="20"/>
    </row>
    <row r="3" spans="1:19" ht="12.75">
      <c r="A3" s="73">
        <v>39934</v>
      </c>
      <c r="B3" s="90" t="s">
        <v>313</v>
      </c>
      <c r="C3" s="91">
        <v>3000</v>
      </c>
      <c r="D3" s="67" t="s">
        <v>26</v>
      </c>
      <c r="E3" s="65" t="s">
        <v>206</v>
      </c>
      <c r="F3" s="144">
        <f aca="true" t="shared" si="0" ref="F3:F11">IF(D3="+",C3,0)</f>
        <v>3000</v>
      </c>
      <c r="P3" t="str">
        <f aca="true" t="shared" si="1" ref="P3:P32">IF(A3="",0,CONCATENATE(TEXT(YEAR(A3),0),TEXT(MONTH(A3),0)))</f>
        <v>20095</v>
      </c>
      <c r="Q3" s="90" t="s">
        <v>316</v>
      </c>
      <c r="S3" s="95"/>
    </row>
    <row r="4" spans="1:17" ht="12.75">
      <c r="A4" s="73">
        <v>39934</v>
      </c>
      <c r="B4" s="90" t="s">
        <v>314</v>
      </c>
      <c r="C4" s="91">
        <v>2000</v>
      </c>
      <c r="D4" s="67" t="s">
        <v>26</v>
      </c>
      <c r="E4" s="65" t="s">
        <v>315</v>
      </c>
      <c r="F4" s="144">
        <f t="shared" si="0"/>
        <v>2000</v>
      </c>
      <c r="P4" t="str">
        <f t="shared" si="1"/>
        <v>20095</v>
      </c>
      <c r="Q4" s="90" t="s">
        <v>344</v>
      </c>
    </row>
    <row r="5" spans="1:17" ht="12.75">
      <c r="A5" s="73">
        <v>39965</v>
      </c>
      <c r="B5" s="90" t="s">
        <v>325</v>
      </c>
      <c r="C5" s="91">
        <v>200</v>
      </c>
      <c r="D5" s="67" t="s">
        <v>26</v>
      </c>
      <c r="E5" s="65" t="s">
        <v>152</v>
      </c>
      <c r="F5" s="144">
        <f t="shared" si="0"/>
        <v>200</v>
      </c>
      <c r="P5" t="str">
        <f>IF(A5="",0,CONCATENATE(TEXT(YEAR(A5),0),TEXT(MONTH(A5),0)))</f>
        <v>20096</v>
      </c>
      <c r="Q5" s="112"/>
    </row>
    <row r="6" spans="1:17" ht="12.75">
      <c r="A6" s="73">
        <v>39995</v>
      </c>
      <c r="B6" s="90" t="s">
        <v>317</v>
      </c>
      <c r="C6" s="91">
        <v>2000</v>
      </c>
      <c r="D6" s="92" t="s">
        <v>26</v>
      </c>
      <c r="E6" s="104" t="s">
        <v>318</v>
      </c>
      <c r="F6" s="144">
        <f t="shared" si="0"/>
        <v>2000</v>
      </c>
      <c r="P6" t="str">
        <f t="shared" si="1"/>
        <v>20097</v>
      </c>
      <c r="Q6" s="68" t="s">
        <v>319</v>
      </c>
    </row>
    <row r="7" spans="1:17" ht="12.75">
      <c r="A7" s="73">
        <v>39995</v>
      </c>
      <c r="B7" s="90" t="s">
        <v>320</v>
      </c>
      <c r="C7" s="91">
        <v>600</v>
      </c>
      <c r="D7" s="92" t="s">
        <v>26</v>
      </c>
      <c r="E7" s="104" t="s">
        <v>206</v>
      </c>
      <c r="F7" s="144">
        <f t="shared" si="0"/>
        <v>600</v>
      </c>
      <c r="P7" t="str">
        <f t="shared" si="1"/>
        <v>20097</v>
      </c>
      <c r="Q7" s="68" t="s">
        <v>321</v>
      </c>
    </row>
    <row r="8" spans="1:17" s="93" customFormat="1" ht="12.75">
      <c r="A8" s="73">
        <v>40126</v>
      </c>
      <c r="B8" s="90" t="s">
        <v>322</v>
      </c>
      <c r="C8" s="91">
        <v>450</v>
      </c>
      <c r="D8" s="92" t="s">
        <v>26</v>
      </c>
      <c r="E8" s="104" t="s">
        <v>206</v>
      </c>
      <c r="F8" s="144">
        <f t="shared" si="0"/>
        <v>450</v>
      </c>
      <c r="P8" t="str">
        <f t="shared" si="1"/>
        <v>200911</v>
      </c>
      <c r="Q8" s="90" t="s">
        <v>324</v>
      </c>
    </row>
    <row r="9" spans="1:17" s="93" customFormat="1" ht="12.75">
      <c r="A9" s="73">
        <v>40126</v>
      </c>
      <c r="B9" s="90" t="s">
        <v>323</v>
      </c>
      <c r="C9" s="91">
        <v>500</v>
      </c>
      <c r="D9" s="92" t="s">
        <v>26</v>
      </c>
      <c r="E9" s="104" t="s">
        <v>345</v>
      </c>
      <c r="F9" s="144">
        <f t="shared" si="0"/>
        <v>500</v>
      </c>
      <c r="P9" t="str">
        <f t="shared" si="1"/>
        <v>200911</v>
      </c>
      <c r="Q9" s="90" t="s">
        <v>324</v>
      </c>
    </row>
    <row r="10" spans="1:17" s="93" customFormat="1" ht="12.75">
      <c r="A10" s="73">
        <v>40174</v>
      </c>
      <c r="B10" s="90" t="s">
        <v>326</v>
      </c>
      <c r="C10" s="91">
        <v>4000</v>
      </c>
      <c r="D10" s="92"/>
      <c r="E10" s="14" t="s">
        <v>206</v>
      </c>
      <c r="F10" s="145">
        <f t="shared" si="0"/>
        <v>0</v>
      </c>
      <c r="P10" t="str">
        <f t="shared" si="1"/>
        <v>200912</v>
      </c>
      <c r="Q10" s="68" t="s">
        <v>327</v>
      </c>
    </row>
    <row r="11" spans="1:17" s="93" customFormat="1" ht="12.75">
      <c r="A11" s="73">
        <v>40209</v>
      </c>
      <c r="B11" s="112" t="s">
        <v>191</v>
      </c>
      <c r="C11" s="113">
        <v>3560</v>
      </c>
      <c r="D11" s="92" t="s">
        <v>26</v>
      </c>
      <c r="E11" s="14" t="s">
        <v>328</v>
      </c>
      <c r="F11" s="145">
        <f t="shared" si="0"/>
        <v>3560</v>
      </c>
      <c r="P11" t="str">
        <f t="shared" si="1"/>
        <v>20101</v>
      </c>
      <c r="Q11" s="90" t="s">
        <v>329</v>
      </c>
    </row>
    <row r="12" spans="1:17" s="93" customFormat="1" ht="12.75">
      <c r="A12" s="73">
        <v>40193</v>
      </c>
      <c r="B12" s="90" t="s">
        <v>41</v>
      </c>
      <c r="C12" s="91">
        <v>250</v>
      </c>
      <c r="D12" s="92" t="s">
        <v>26</v>
      </c>
      <c r="E12" s="104" t="s">
        <v>204</v>
      </c>
      <c r="F12" s="145">
        <f aca="true" t="shared" si="2" ref="F12:F24">IF(D12="+",C12,0)</f>
        <v>250</v>
      </c>
      <c r="P12" t="str">
        <f t="shared" si="1"/>
        <v>20101</v>
      </c>
      <c r="Q12" s="90" t="s">
        <v>330</v>
      </c>
    </row>
    <row r="13" spans="1:17" s="93" customFormat="1" ht="12.75">
      <c r="A13" s="73">
        <v>39995</v>
      </c>
      <c r="B13" s="90" t="s">
        <v>41</v>
      </c>
      <c r="C13" s="91">
        <v>250</v>
      </c>
      <c r="D13" s="92" t="s">
        <v>26</v>
      </c>
      <c r="E13" s="104" t="s">
        <v>204</v>
      </c>
      <c r="F13" s="145">
        <f t="shared" si="2"/>
        <v>250</v>
      </c>
      <c r="P13" t="str">
        <f t="shared" si="1"/>
        <v>20097</v>
      </c>
      <c r="Q13" s="90" t="s">
        <v>330</v>
      </c>
    </row>
    <row r="14" spans="1:17" s="93" customFormat="1" ht="12.75">
      <c r="A14" s="73">
        <v>39995</v>
      </c>
      <c r="B14" s="90" t="s">
        <v>40</v>
      </c>
      <c r="C14" s="91">
        <v>1400</v>
      </c>
      <c r="D14" s="92" t="s">
        <v>26</v>
      </c>
      <c r="E14" s="119" t="s">
        <v>331</v>
      </c>
      <c r="F14" s="145">
        <f t="shared" si="2"/>
        <v>1400</v>
      </c>
      <c r="P14" t="str">
        <f t="shared" si="1"/>
        <v>20097</v>
      </c>
      <c r="Q14" s="90" t="s">
        <v>330</v>
      </c>
    </row>
    <row r="15" spans="1:17" s="93" customFormat="1" ht="12.75">
      <c r="A15" s="73">
        <v>40238</v>
      </c>
      <c r="B15" s="90" t="s">
        <v>40</v>
      </c>
      <c r="C15" s="91">
        <v>260</v>
      </c>
      <c r="D15" s="92" t="s">
        <v>26</v>
      </c>
      <c r="E15" s="119" t="s">
        <v>338</v>
      </c>
      <c r="F15" s="145">
        <f t="shared" si="2"/>
        <v>260</v>
      </c>
      <c r="P15" t="str">
        <f t="shared" si="1"/>
        <v>20103</v>
      </c>
      <c r="Q15" s="90" t="s">
        <v>339</v>
      </c>
    </row>
    <row r="16" spans="1:17" s="93" customFormat="1" ht="12.75">
      <c r="A16" s="73">
        <v>40256</v>
      </c>
      <c r="B16" s="90" t="s">
        <v>42</v>
      </c>
      <c r="C16" s="91">
        <v>600</v>
      </c>
      <c r="D16" s="92" t="s">
        <v>26</v>
      </c>
      <c r="E16" s="119" t="s">
        <v>336</v>
      </c>
      <c r="F16" s="145">
        <f t="shared" si="2"/>
        <v>600</v>
      </c>
      <c r="P16" t="str">
        <f t="shared" si="1"/>
        <v>20103</v>
      </c>
      <c r="Q16" s="90" t="s">
        <v>324</v>
      </c>
    </row>
    <row r="17" spans="1:18" s="93" customFormat="1" ht="12.75">
      <c r="A17" s="73">
        <v>40259</v>
      </c>
      <c r="B17" s="90" t="s">
        <v>314</v>
      </c>
      <c r="C17" s="91">
        <f>14080-2500</f>
        <v>11580</v>
      </c>
      <c r="D17" s="92" t="s">
        <v>26</v>
      </c>
      <c r="E17" s="119" t="s">
        <v>341</v>
      </c>
      <c r="F17" s="145">
        <f t="shared" si="2"/>
        <v>11580</v>
      </c>
      <c r="P17" t="str">
        <f t="shared" si="1"/>
        <v>20103</v>
      </c>
      <c r="Q17" s="90" t="s">
        <v>337</v>
      </c>
      <c r="R17" s="93" t="s">
        <v>340</v>
      </c>
    </row>
    <row r="18" spans="1:17" s="93" customFormat="1" ht="12.75">
      <c r="A18" s="73">
        <v>40333</v>
      </c>
      <c r="B18" s="90" t="s">
        <v>342</v>
      </c>
      <c r="C18" s="91">
        <v>5642</v>
      </c>
      <c r="D18" s="92" t="s">
        <v>26</v>
      </c>
      <c r="E18" s="119" t="s">
        <v>355</v>
      </c>
      <c r="F18" s="145">
        <f t="shared" si="2"/>
        <v>5642</v>
      </c>
      <c r="P18" t="str">
        <f t="shared" si="1"/>
        <v>20106</v>
      </c>
      <c r="Q18" s="90" t="s">
        <v>343</v>
      </c>
    </row>
    <row r="19" spans="1:17" s="93" customFormat="1" ht="12.75">
      <c r="A19" s="73">
        <v>40280</v>
      </c>
      <c r="B19" s="90" t="s">
        <v>313</v>
      </c>
      <c r="C19" s="91">
        <v>1300</v>
      </c>
      <c r="D19" s="92"/>
      <c r="E19" s="119" t="s">
        <v>346</v>
      </c>
      <c r="F19" s="145">
        <f>IF(D19="+",C19,0)</f>
        <v>0</v>
      </c>
      <c r="P19" t="str">
        <f>IF(A19="",0,CONCATENATE(TEXT(YEAR(A19),0),TEXT(MONTH(A19),0)))</f>
        <v>20104</v>
      </c>
      <c r="Q19" s="90" t="s">
        <v>349</v>
      </c>
    </row>
    <row r="20" spans="1:17" s="93" customFormat="1" ht="12.75">
      <c r="A20" s="73">
        <v>40280</v>
      </c>
      <c r="B20" s="90" t="s">
        <v>347</v>
      </c>
      <c r="C20" s="91">
        <v>1500</v>
      </c>
      <c r="D20" s="92"/>
      <c r="E20" s="119" t="s">
        <v>348</v>
      </c>
      <c r="F20" s="145">
        <f>IF(D20="+",C20,0)</f>
        <v>0</v>
      </c>
      <c r="P20" t="str">
        <f>IF(A20="",0,CONCATENATE(TEXT(YEAR(A20),0),TEXT(MONTH(A20),0)))</f>
        <v>20104</v>
      </c>
      <c r="Q20" s="90" t="s">
        <v>350</v>
      </c>
    </row>
    <row r="21" spans="1:17" s="93" customFormat="1" ht="12.75">
      <c r="A21" s="73">
        <v>40290</v>
      </c>
      <c r="B21" s="90" t="s">
        <v>41</v>
      </c>
      <c r="C21" s="91">
        <v>129</v>
      </c>
      <c r="D21" s="92" t="s">
        <v>26</v>
      </c>
      <c r="E21" s="104" t="s">
        <v>351</v>
      </c>
      <c r="F21" s="145">
        <f>IF(D21="+",C21,0)</f>
        <v>129</v>
      </c>
      <c r="P21" t="str">
        <f>IF(A21="",0,CONCATENATE(TEXT(YEAR(A21),0),TEXT(MONTH(A21),0)))</f>
        <v>20104</v>
      </c>
      <c r="Q21" s="90" t="s">
        <v>330</v>
      </c>
    </row>
    <row r="22" spans="1:17" s="93" customFormat="1" ht="12.75">
      <c r="A22" s="73">
        <v>40305</v>
      </c>
      <c r="B22" s="90" t="s">
        <v>354</v>
      </c>
      <c r="C22" s="91">
        <v>60</v>
      </c>
      <c r="D22" s="92" t="s">
        <v>26</v>
      </c>
      <c r="E22" s="119"/>
      <c r="F22" s="145">
        <f>IF(D22="+",C22,0)</f>
        <v>60</v>
      </c>
      <c r="P22" t="str">
        <f>IF(A22="",0,CONCATENATE(TEXT(YEAR(A22),0),TEXT(MONTH(A22),0)))</f>
        <v>20105</v>
      </c>
      <c r="Q22" s="90" t="s">
        <v>330</v>
      </c>
    </row>
    <row r="23" spans="1:17" s="93" customFormat="1" ht="12.75">
      <c r="A23" s="73">
        <v>40311</v>
      </c>
      <c r="B23" s="90" t="s">
        <v>40</v>
      </c>
      <c r="C23" s="91">
        <v>999</v>
      </c>
      <c r="D23" s="92" t="s">
        <v>26</v>
      </c>
      <c r="E23" s="119" t="s">
        <v>331</v>
      </c>
      <c r="F23" s="145">
        <f>IF(D23="+",C23,0)</f>
        <v>999</v>
      </c>
      <c r="P23" t="str">
        <f>IF(A23="",0,CONCATENATE(TEXT(YEAR(A23),0),TEXT(MONTH(A23),0)))</f>
        <v>20105</v>
      </c>
      <c r="Q23" s="90" t="s">
        <v>330</v>
      </c>
    </row>
    <row r="24" spans="1:17" s="93" customFormat="1" ht="12.75">
      <c r="A24" s="73">
        <v>40375</v>
      </c>
      <c r="B24" s="90" t="s">
        <v>57</v>
      </c>
      <c r="C24" s="91">
        <v>312</v>
      </c>
      <c r="D24" s="92" t="s">
        <v>26</v>
      </c>
      <c r="E24" s="119" t="s">
        <v>359</v>
      </c>
      <c r="F24" s="145">
        <f t="shared" si="2"/>
        <v>312</v>
      </c>
      <c r="P24" t="str">
        <f t="shared" si="1"/>
        <v>20107</v>
      </c>
      <c r="Q24" s="90" t="s">
        <v>361</v>
      </c>
    </row>
    <row r="25" spans="1:18" s="93" customFormat="1" ht="12.75">
      <c r="A25" s="73">
        <v>40375</v>
      </c>
      <c r="B25" s="90" t="s">
        <v>360</v>
      </c>
      <c r="C25" s="91">
        <v>1900</v>
      </c>
      <c r="D25" s="92" t="s">
        <v>26</v>
      </c>
      <c r="E25" s="119" t="s">
        <v>180</v>
      </c>
      <c r="F25" s="145">
        <f aca="true" t="shared" si="3" ref="F25:F32">IF(D25="+",C25,0)</f>
        <v>1900</v>
      </c>
      <c r="P25" t="str">
        <f t="shared" si="1"/>
        <v>20107</v>
      </c>
      <c r="Q25" s="90" t="s">
        <v>362</v>
      </c>
      <c r="R25" s="94"/>
    </row>
    <row r="26" spans="1:18" s="93" customFormat="1" ht="12.75">
      <c r="A26" s="73">
        <v>40377</v>
      </c>
      <c r="B26" s="90" t="s">
        <v>363</v>
      </c>
      <c r="C26" s="91">
        <v>10</v>
      </c>
      <c r="D26" s="92" t="s">
        <v>26</v>
      </c>
      <c r="E26" s="119" t="s">
        <v>364</v>
      </c>
      <c r="F26" s="145">
        <f t="shared" si="3"/>
        <v>10</v>
      </c>
      <c r="P26" t="str">
        <f t="shared" si="1"/>
        <v>20107</v>
      </c>
      <c r="Q26" s="90" t="s">
        <v>365</v>
      </c>
      <c r="R26" s="94"/>
    </row>
    <row r="27" spans="1:17" s="93" customFormat="1" ht="12.75">
      <c r="A27" s="73">
        <v>40377</v>
      </c>
      <c r="B27" s="90" t="s">
        <v>366</v>
      </c>
      <c r="C27" s="91">
        <v>650</v>
      </c>
      <c r="D27" s="92" t="s">
        <v>26</v>
      </c>
      <c r="E27" s="119"/>
      <c r="F27" s="145">
        <f t="shared" si="3"/>
        <v>650</v>
      </c>
      <c r="P27" t="str">
        <f t="shared" si="1"/>
        <v>20107</v>
      </c>
      <c r="Q27" s="90" t="s">
        <v>365</v>
      </c>
    </row>
    <row r="28" spans="1:17" s="93" customFormat="1" ht="12.75">
      <c r="A28" s="73">
        <v>40386</v>
      </c>
      <c r="B28" s="90" t="s">
        <v>370</v>
      </c>
      <c r="C28" s="91">
        <v>800</v>
      </c>
      <c r="D28" s="92" t="s">
        <v>26</v>
      </c>
      <c r="E28" s="119" t="s">
        <v>206</v>
      </c>
      <c r="F28" s="145">
        <f t="shared" si="3"/>
        <v>800</v>
      </c>
      <c r="P28" t="str">
        <f t="shared" si="1"/>
        <v>20107</v>
      </c>
      <c r="Q28" s="90" t="s">
        <v>369</v>
      </c>
    </row>
    <row r="29" spans="1:17" s="93" customFormat="1" ht="12.75">
      <c r="A29" s="73">
        <v>40389</v>
      </c>
      <c r="B29" s="90" t="s">
        <v>41</v>
      </c>
      <c r="C29" s="91">
        <v>139</v>
      </c>
      <c r="D29" s="92" t="s">
        <v>26</v>
      </c>
      <c r="E29" s="104" t="s">
        <v>351</v>
      </c>
      <c r="F29" s="145">
        <f t="shared" si="3"/>
        <v>139</v>
      </c>
      <c r="P29" t="str">
        <f t="shared" si="1"/>
        <v>20107</v>
      </c>
      <c r="Q29" s="90" t="s">
        <v>330</v>
      </c>
    </row>
    <row r="30" spans="1:17" s="93" customFormat="1" ht="12.75">
      <c r="A30" s="73">
        <v>40389</v>
      </c>
      <c r="B30" s="90" t="s">
        <v>40</v>
      </c>
      <c r="C30" s="91">
        <v>1182.5</v>
      </c>
      <c r="D30" s="92" t="s">
        <v>26</v>
      </c>
      <c r="E30" s="119" t="s">
        <v>338</v>
      </c>
      <c r="F30" s="145">
        <f t="shared" si="3"/>
        <v>1182.5</v>
      </c>
      <c r="P30" t="str">
        <f t="shared" si="1"/>
        <v>20107</v>
      </c>
      <c r="Q30" s="90" t="s">
        <v>339</v>
      </c>
    </row>
    <row r="31" spans="1:17" s="93" customFormat="1" ht="12.75">
      <c r="A31" s="73">
        <v>40386</v>
      </c>
      <c r="B31" s="90" t="s">
        <v>372</v>
      </c>
      <c r="C31" s="91">
        <v>-500</v>
      </c>
      <c r="D31" s="92" t="s">
        <v>26</v>
      </c>
      <c r="E31" s="119" t="s">
        <v>373</v>
      </c>
      <c r="F31" s="145">
        <f t="shared" si="3"/>
        <v>-500</v>
      </c>
      <c r="P31" t="str">
        <f t="shared" si="1"/>
        <v>20107</v>
      </c>
      <c r="Q31" s="90" t="s">
        <v>374</v>
      </c>
    </row>
    <row r="32" spans="1:17" s="93" customFormat="1" ht="12.75">
      <c r="A32" s="73">
        <v>40430</v>
      </c>
      <c r="B32" s="90" t="s">
        <v>375</v>
      </c>
      <c r="C32" s="91">
        <v>100</v>
      </c>
      <c r="D32" s="92" t="s">
        <v>26</v>
      </c>
      <c r="E32" s="119" t="s">
        <v>376</v>
      </c>
      <c r="F32" s="145">
        <f t="shared" si="3"/>
        <v>100</v>
      </c>
      <c r="P32" t="str">
        <f t="shared" si="1"/>
        <v>20109</v>
      </c>
      <c r="Q32" s="90" t="s">
        <v>377</v>
      </c>
    </row>
    <row r="33" spans="1:17" s="93" customFormat="1" ht="12.75">
      <c r="A33" s="73">
        <v>40452</v>
      </c>
      <c r="B33" s="90" t="s">
        <v>378</v>
      </c>
      <c r="C33" s="91">
        <v>1950</v>
      </c>
      <c r="D33" s="92" t="s">
        <v>26</v>
      </c>
      <c r="E33" s="104" t="s">
        <v>379</v>
      </c>
      <c r="F33" s="145">
        <f>IF(D33="+",C33,0)</f>
        <v>1950</v>
      </c>
      <c r="P33" t="str">
        <f>IF(A33="",0,CONCATENATE(TEXT(YEAR(A33),0),TEXT(MONTH(A33),0)))</f>
        <v>201010</v>
      </c>
      <c r="Q33" s="90" t="s">
        <v>362</v>
      </c>
    </row>
    <row r="34" spans="1:17" s="93" customFormat="1" ht="12.75">
      <c r="A34" s="73">
        <v>40486</v>
      </c>
      <c r="B34" s="90" t="s">
        <v>380</v>
      </c>
      <c r="C34" s="91">
        <v>2200</v>
      </c>
      <c r="D34" s="92"/>
      <c r="E34" s="104" t="s">
        <v>206</v>
      </c>
      <c r="F34" s="145">
        <f aca="true" t="shared" si="4" ref="F34:F48">IF(D34="+",C34,0)</f>
        <v>0</v>
      </c>
      <c r="P34" t="str">
        <f aca="true" t="shared" si="5" ref="P34:P48">IF(A34="",0,CONCATENATE(TEXT(YEAR(A34),0),TEXT(MONTH(A34),0)))</f>
        <v>201011</v>
      </c>
      <c r="Q34" s="90" t="s">
        <v>381</v>
      </c>
    </row>
    <row r="35" spans="1:17" s="93" customFormat="1" ht="12.75">
      <c r="A35" s="73">
        <v>40459</v>
      </c>
      <c r="B35" s="90" t="s">
        <v>384</v>
      </c>
      <c r="C35" s="91">
        <v>19</v>
      </c>
      <c r="D35" s="92" t="s">
        <v>26</v>
      </c>
      <c r="E35" s="104"/>
      <c r="F35" s="145">
        <f t="shared" si="4"/>
        <v>19</v>
      </c>
      <c r="P35" t="str">
        <f t="shared" si="5"/>
        <v>201010</v>
      </c>
      <c r="Q35" s="90" t="s">
        <v>385</v>
      </c>
    </row>
    <row r="36" spans="1:17" s="93" customFormat="1" ht="12.75">
      <c r="A36" s="73">
        <v>40490</v>
      </c>
      <c r="B36" s="90" t="s">
        <v>40</v>
      </c>
      <c r="C36" s="91">
        <v>299</v>
      </c>
      <c r="D36" s="92" t="s">
        <v>26</v>
      </c>
      <c r="E36" s="119" t="s">
        <v>331</v>
      </c>
      <c r="F36" s="145">
        <f t="shared" si="4"/>
        <v>299</v>
      </c>
      <c r="P36" t="str">
        <f t="shared" si="5"/>
        <v>201011</v>
      </c>
      <c r="Q36" s="90" t="s">
        <v>330</v>
      </c>
    </row>
    <row r="37" spans="1:17" s="93" customFormat="1" ht="12.75">
      <c r="A37" s="73">
        <v>40529</v>
      </c>
      <c r="B37" s="90" t="s">
        <v>40</v>
      </c>
      <c r="C37" s="91">
        <v>1381</v>
      </c>
      <c r="D37" s="92" t="s">
        <v>26</v>
      </c>
      <c r="E37" s="104" t="s">
        <v>391</v>
      </c>
      <c r="F37" s="145">
        <f t="shared" si="4"/>
        <v>1381</v>
      </c>
      <c r="P37" t="str">
        <f t="shared" si="5"/>
        <v>201012</v>
      </c>
      <c r="Q37" s="90" t="s">
        <v>392</v>
      </c>
    </row>
    <row r="38" spans="1:17" s="93" customFormat="1" ht="12.75">
      <c r="A38" s="73">
        <v>40529</v>
      </c>
      <c r="B38" s="90" t="s">
        <v>42</v>
      </c>
      <c r="C38" s="91">
        <v>272</v>
      </c>
      <c r="D38" s="92" t="s">
        <v>26</v>
      </c>
      <c r="E38" s="14" t="s">
        <v>396</v>
      </c>
      <c r="F38" s="145">
        <f t="shared" si="4"/>
        <v>272</v>
      </c>
      <c r="P38" t="str">
        <f t="shared" si="5"/>
        <v>201012</v>
      </c>
      <c r="Q38" s="90" t="s">
        <v>392</v>
      </c>
    </row>
    <row r="39" spans="1:17" s="93" customFormat="1" ht="12.75">
      <c r="A39" s="73">
        <v>40529</v>
      </c>
      <c r="B39" s="90" t="s">
        <v>41</v>
      </c>
      <c r="C39" s="91">
        <v>142</v>
      </c>
      <c r="D39" s="92" t="s">
        <v>26</v>
      </c>
      <c r="E39" s="14" t="s">
        <v>397</v>
      </c>
      <c r="F39" s="145">
        <f t="shared" si="4"/>
        <v>142</v>
      </c>
      <c r="P39" t="str">
        <f t="shared" si="5"/>
        <v>201012</v>
      </c>
      <c r="Q39" s="90" t="s">
        <v>392</v>
      </c>
    </row>
    <row r="40" spans="1:17" s="93" customFormat="1" ht="12.75">
      <c r="A40" s="73">
        <v>40529</v>
      </c>
      <c r="B40" s="90" t="s">
        <v>393</v>
      </c>
      <c r="C40" s="91">
        <f>170*2</f>
        <v>340</v>
      </c>
      <c r="D40" s="92" t="s">
        <v>26</v>
      </c>
      <c r="E40" s="14" t="s">
        <v>398</v>
      </c>
      <c r="F40" s="145">
        <f t="shared" si="4"/>
        <v>340</v>
      </c>
      <c r="P40" t="str">
        <f t="shared" si="5"/>
        <v>201012</v>
      </c>
      <c r="Q40" s="90" t="s">
        <v>392</v>
      </c>
    </row>
    <row r="41" spans="1:17" s="93" customFormat="1" ht="12.75">
      <c r="A41" s="73">
        <v>40561</v>
      </c>
      <c r="B41" s="14" t="s">
        <v>399</v>
      </c>
      <c r="C41" s="91">
        <v>3000</v>
      </c>
      <c r="D41" s="92"/>
      <c r="E41" s="14" t="s">
        <v>206</v>
      </c>
      <c r="F41" s="145">
        <f t="shared" si="4"/>
        <v>0</v>
      </c>
      <c r="P41" t="str">
        <f t="shared" si="5"/>
        <v>20111</v>
      </c>
      <c r="Q41" s="14" t="s">
        <v>400</v>
      </c>
    </row>
    <row r="42" spans="1:17" s="93" customFormat="1" ht="12.75">
      <c r="A42" s="73">
        <v>40562</v>
      </c>
      <c r="B42" s="14" t="s">
        <v>132</v>
      </c>
      <c r="C42" s="91">
        <v>109</v>
      </c>
      <c r="D42" s="92" t="s">
        <v>26</v>
      </c>
      <c r="E42" s="14" t="s">
        <v>401</v>
      </c>
      <c r="F42" s="145">
        <f t="shared" si="4"/>
        <v>109</v>
      </c>
      <c r="P42" t="str">
        <f t="shared" si="5"/>
        <v>20111</v>
      </c>
      <c r="Q42" s="90" t="s">
        <v>402</v>
      </c>
    </row>
    <row r="43" spans="1:17" s="93" customFormat="1" ht="12.75">
      <c r="A43" s="73">
        <v>40563</v>
      </c>
      <c r="B43" t="s">
        <v>403</v>
      </c>
      <c r="C43" s="91">
        <v>100</v>
      </c>
      <c r="D43" s="92" t="s">
        <v>26</v>
      </c>
      <c r="E43" t="s">
        <v>404</v>
      </c>
      <c r="F43" s="145">
        <f t="shared" si="4"/>
        <v>100</v>
      </c>
      <c r="P43" t="str">
        <f t="shared" si="5"/>
        <v>20111</v>
      </c>
      <c r="Q43" s="14" t="s">
        <v>405</v>
      </c>
    </row>
    <row r="44" spans="1:17" s="93" customFormat="1" ht="12.75">
      <c r="A44" s="73">
        <v>40597</v>
      </c>
      <c r="B44" s="90" t="s">
        <v>410</v>
      </c>
      <c r="C44" s="91">
        <v>1200</v>
      </c>
      <c r="D44" s="92" t="s">
        <v>26</v>
      </c>
      <c r="E44" s="104"/>
      <c r="F44" s="145">
        <f t="shared" si="4"/>
        <v>1200</v>
      </c>
      <c r="P44" t="str">
        <f t="shared" si="5"/>
        <v>20112</v>
      </c>
      <c r="Q44" s="90" t="s">
        <v>411</v>
      </c>
    </row>
    <row r="45" spans="1:17" s="93" customFormat="1" ht="12.75">
      <c r="A45" s="73">
        <v>40601</v>
      </c>
      <c r="B45" s="90" t="s">
        <v>384</v>
      </c>
      <c r="C45" s="91">
        <v>19</v>
      </c>
      <c r="D45" s="92" t="s">
        <v>26</v>
      </c>
      <c r="E45" s="104" t="s">
        <v>412</v>
      </c>
      <c r="F45" s="145">
        <f t="shared" si="4"/>
        <v>19</v>
      </c>
      <c r="P45" t="str">
        <f t="shared" si="5"/>
        <v>20112</v>
      </c>
      <c r="Q45" s="90" t="s">
        <v>413</v>
      </c>
    </row>
    <row r="46" spans="1:17" s="93" customFormat="1" ht="12.75">
      <c r="A46" s="73"/>
      <c r="B46" s="90" t="s">
        <v>182</v>
      </c>
      <c r="C46" s="91">
        <v>150</v>
      </c>
      <c r="D46" s="92"/>
      <c r="E46" s="104"/>
      <c r="F46" s="145">
        <f t="shared" si="4"/>
        <v>0</v>
      </c>
      <c r="P46">
        <f t="shared" si="5"/>
        <v>0</v>
      </c>
      <c r="Q46" s="90" t="s">
        <v>183</v>
      </c>
    </row>
    <row r="47" spans="1:18" s="93" customFormat="1" ht="12.75">
      <c r="A47" s="73"/>
      <c r="B47" s="90" t="s">
        <v>184</v>
      </c>
      <c r="C47" s="91">
        <v>1200</v>
      </c>
      <c r="D47" s="92"/>
      <c r="E47" s="104" t="s">
        <v>185</v>
      </c>
      <c r="F47" s="145">
        <f t="shared" si="4"/>
        <v>0</v>
      </c>
      <c r="P47">
        <f t="shared" si="5"/>
        <v>0</v>
      </c>
      <c r="Q47" s="90" t="s">
        <v>186</v>
      </c>
      <c r="R47" s="93" t="s">
        <v>307</v>
      </c>
    </row>
    <row r="48" spans="1:17" s="93" customFormat="1" ht="12.75">
      <c r="A48" s="73"/>
      <c r="B48" s="90" t="s">
        <v>187</v>
      </c>
      <c r="C48" s="91">
        <v>40</v>
      </c>
      <c r="D48" s="92"/>
      <c r="E48" s="104"/>
      <c r="F48" s="145">
        <f t="shared" si="4"/>
        <v>0</v>
      </c>
      <c r="P48">
        <f t="shared" si="5"/>
        <v>0</v>
      </c>
      <c r="Q48" s="90" t="s">
        <v>186</v>
      </c>
    </row>
    <row r="49" spans="1:17" s="93" customFormat="1" ht="12.75">
      <c r="A49" s="73"/>
      <c r="B49" s="90" t="s">
        <v>132</v>
      </c>
      <c r="C49" s="91">
        <v>90</v>
      </c>
      <c r="D49" s="92"/>
      <c r="E49" s="14" t="s">
        <v>133</v>
      </c>
      <c r="F49" s="145">
        <f>IF(D49="+",C49,0)</f>
        <v>0</v>
      </c>
      <c r="P49">
        <f>IF(A49="",0,CONCATENATE(TEXT(YEAR(A49),0),TEXT(MONTH(A49),0)))</f>
        <v>0</v>
      </c>
      <c r="Q49" s="90" t="s">
        <v>188</v>
      </c>
    </row>
    <row r="50" spans="1:17" s="93" customFormat="1" ht="12.75">
      <c r="A50" s="73"/>
      <c r="B50" s="90" t="s">
        <v>191</v>
      </c>
      <c r="C50" s="91">
        <v>2800</v>
      </c>
      <c r="D50" s="92"/>
      <c r="E50" s="104" t="s">
        <v>192</v>
      </c>
      <c r="F50" s="145">
        <f>IF(D50="+",C50,0)</f>
        <v>0</v>
      </c>
      <c r="P50">
        <f>IF(A50="",0,CONCATENATE(TEXT(YEAR(A50),0),TEXT(MONTH(A50),0)))</f>
        <v>0</v>
      </c>
      <c r="Q50" s="90" t="s">
        <v>193</v>
      </c>
    </row>
    <row r="51" spans="1:17" s="93" customFormat="1" ht="12.75">
      <c r="A51" s="73"/>
      <c r="B51" s="90" t="s">
        <v>42</v>
      </c>
      <c r="C51" s="91">
        <v>450</v>
      </c>
      <c r="D51" s="92"/>
      <c r="E51" s="131" t="s">
        <v>196</v>
      </c>
      <c r="F51" s="145">
        <f>IF(D51="+",C51,0)</f>
        <v>0</v>
      </c>
      <c r="P51">
        <f>IF(A51="",0,CONCATENATE(TEXT(YEAR(A51),0),TEXT(MONTH(A51),0)))</f>
        <v>0</v>
      </c>
      <c r="Q51" s="90" t="s">
        <v>197</v>
      </c>
    </row>
    <row r="52" spans="1:17" s="93" customFormat="1" ht="13.5" customHeight="1">
      <c r="A52" s="73"/>
      <c r="B52" s="90" t="s">
        <v>194</v>
      </c>
      <c r="C52" s="91">
        <v>25</v>
      </c>
      <c r="D52" s="92"/>
      <c r="E52" s="103"/>
      <c r="F52" s="145">
        <f aca="true" t="shared" si="6" ref="F52:F57">IF(D52="+",C52,0)</f>
        <v>0</v>
      </c>
      <c r="P52">
        <f aca="true" t="shared" si="7" ref="P52:P57">IF(A52="",0,CONCATENATE(TEXT(YEAR(A52),0),TEXT(MONTH(A52),0)))</f>
        <v>0</v>
      </c>
      <c r="Q52" s="90" t="s">
        <v>188</v>
      </c>
    </row>
    <row r="53" spans="1:17" s="93" customFormat="1" ht="12.75">
      <c r="A53" s="73"/>
      <c r="B53" s="90" t="s">
        <v>195</v>
      </c>
      <c r="C53" s="91">
        <v>150</v>
      </c>
      <c r="D53" s="92"/>
      <c r="E53" s="103"/>
      <c r="F53" s="145">
        <f t="shared" si="6"/>
        <v>0</v>
      </c>
      <c r="P53">
        <f t="shared" si="7"/>
        <v>0</v>
      </c>
      <c r="Q53" s="90" t="s">
        <v>188</v>
      </c>
    </row>
    <row r="54" spans="1:17" s="93" customFormat="1" ht="12.75">
      <c r="A54" s="73"/>
      <c r="B54" s="90" t="s">
        <v>147</v>
      </c>
      <c r="C54" s="91">
        <v>230</v>
      </c>
      <c r="D54" s="92"/>
      <c r="E54" s="103" t="s">
        <v>148</v>
      </c>
      <c r="F54" s="144">
        <f t="shared" si="6"/>
        <v>0</v>
      </c>
      <c r="G54"/>
      <c r="H54"/>
      <c r="I54"/>
      <c r="J54"/>
      <c r="K54"/>
      <c r="L54"/>
      <c r="M54"/>
      <c r="N54"/>
      <c r="O54"/>
      <c r="P54">
        <f t="shared" si="7"/>
        <v>0</v>
      </c>
      <c r="Q54" s="68" t="s">
        <v>186</v>
      </c>
    </row>
    <row r="55" spans="1:17" s="93" customFormat="1" ht="12.75">
      <c r="A55" s="73"/>
      <c r="B55" s="90" t="s">
        <v>198</v>
      </c>
      <c r="C55" s="66">
        <v>16710</v>
      </c>
      <c r="D55" s="92"/>
      <c r="E55" s="105" t="s">
        <v>264</v>
      </c>
      <c r="F55" s="145">
        <f t="shared" si="6"/>
        <v>0</v>
      </c>
      <c r="P55">
        <f t="shared" si="7"/>
        <v>0</v>
      </c>
      <c r="Q55" s="90" t="s">
        <v>200</v>
      </c>
    </row>
    <row r="56" spans="1:17" s="93" customFormat="1" ht="12.75">
      <c r="A56" s="73"/>
      <c r="B56" s="90" t="s">
        <v>201</v>
      </c>
      <c r="C56" s="91">
        <v>230</v>
      </c>
      <c r="D56" s="92"/>
      <c r="E56" s="104" t="s">
        <v>308</v>
      </c>
      <c r="F56" s="144">
        <f t="shared" si="6"/>
        <v>0</v>
      </c>
      <c r="G56"/>
      <c r="H56"/>
      <c r="I56"/>
      <c r="J56"/>
      <c r="K56"/>
      <c r="L56"/>
      <c r="M56"/>
      <c r="N56"/>
      <c r="O56"/>
      <c r="P56">
        <f t="shared" si="7"/>
        <v>0</v>
      </c>
      <c r="Q56" s="90" t="s">
        <v>200</v>
      </c>
    </row>
    <row r="57" spans="1:17" s="93" customFormat="1" ht="12.75">
      <c r="A57" s="73"/>
      <c r="B57" s="90" t="s">
        <v>202</v>
      </c>
      <c r="C57" s="91">
        <v>190</v>
      </c>
      <c r="D57" s="92"/>
      <c r="E57" s="104" t="s">
        <v>270</v>
      </c>
      <c r="F57" s="144">
        <f t="shared" si="6"/>
        <v>0</v>
      </c>
      <c r="G57"/>
      <c r="H57"/>
      <c r="I57"/>
      <c r="J57"/>
      <c r="K57"/>
      <c r="L57"/>
      <c r="M57"/>
      <c r="N57"/>
      <c r="O57"/>
      <c r="P57">
        <f t="shared" si="7"/>
        <v>0</v>
      </c>
      <c r="Q57" s="90" t="s">
        <v>200</v>
      </c>
    </row>
    <row r="58" spans="1:17" s="93" customFormat="1" ht="12.75">
      <c r="A58" s="73"/>
      <c r="B58" s="90" t="s">
        <v>147</v>
      </c>
      <c r="C58" s="91">
        <v>260</v>
      </c>
      <c r="D58" s="92"/>
      <c r="E58" s="103" t="s">
        <v>148</v>
      </c>
      <c r="F58" s="144">
        <f aca="true" t="shared" si="8" ref="F58:F81">IF(D58="+",C58,0)</f>
        <v>0</v>
      </c>
      <c r="G58"/>
      <c r="H58"/>
      <c r="I58"/>
      <c r="J58"/>
      <c r="K58"/>
      <c r="L58"/>
      <c r="M58"/>
      <c r="N58"/>
      <c r="O58"/>
      <c r="P58">
        <f aca="true" t="shared" si="9" ref="P58:P122">IF(A58="",0,CONCATENATE(TEXT(YEAR(A58),0),TEXT(MONTH(A58),0)))</f>
        <v>0</v>
      </c>
      <c r="Q58" s="68" t="s">
        <v>186</v>
      </c>
    </row>
    <row r="59" spans="1:17" s="93" customFormat="1" ht="12.75">
      <c r="A59" s="73"/>
      <c r="B59" s="90" t="s">
        <v>40</v>
      </c>
      <c r="C59" s="91">
        <v>1200</v>
      </c>
      <c r="D59" s="92"/>
      <c r="E59" s="103" t="s">
        <v>203</v>
      </c>
      <c r="F59" s="144">
        <f t="shared" si="8"/>
        <v>0</v>
      </c>
      <c r="G59"/>
      <c r="H59"/>
      <c r="I59"/>
      <c r="J59"/>
      <c r="K59"/>
      <c r="L59"/>
      <c r="M59"/>
      <c r="N59"/>
      <c r="O59"/>
      <c r="P59">
        <f t="shared" si="9"/>
        <v>0</v>
      </c>
      <c r="Q59" s="90" t="s">
        <v>181</v>
      </c>
    </row>
    <row r="60" spans="1:17" s="93" customFormat="1" ht="12.75">
      <c r="A60" s="73"/>
      <c r="B60" s="90" t="s">
        <v>41</v>
      </c>
      <c r="C60" s="91">
        <v>180</v>
      </c>
      <c r="D60" s="92"/>
      <c r="E60" s="104" t="s">
        <v>204</v>
      </c>
      <c r="F60" s="144">
        <f t="shared" si="8"/>
        <v>0</v>
      </c>
      <c r="G60"/>
      <c r="H60"/>
      <c r="I60"/>
      <c r="J60"/>
      <c r="K60"/>
      <c r="L60"/>
      <c r="M60"/>
      <c r="N60"/>
      <c r="O60"/>
      <c r="P60">
        <f t="shared" si="9"/>
        <v>0</v>
      </c>
      <c r="Q60" s="90" t="s">
        <v>181</v>
      </c>
    </row>
    <row r="61" spans="1:17" s="93" customFormat="1" ht="12.75">
      <c r="A61" s="73"/>
      <c r="B61" s="90" t="s">
        <v>205</v>
      </c>
      <c r="C61" s="91">
        <v>190</v>
      </c>
      <c r="D61" s="92"/>
      <c r="E61" s="104" t="s">
        <v>206</v>
      </c>
      <c r="F61" s="144">
        <f t="shared" si="8"/>
        <v>0</v>
      </c>
      <c r="G61"/>
      <c r="H61"/>
      <c r="I61"/>
      <c r="J61"/>
      <c r="K61"/>
      <c r="L61"/>
      <c r="M61"/>
      <c r="N61"/>
      <c r="O61"/>
      <c r="P61">
        <f t="shared" si="9"/>
        <v>0</v>
      </c>
      <c r="Q61" s="90" t="s">
        <v>181</v>
      </c>
    </row>
    <row r="62" spans="1:17" s="93" customFormat="1" ht="12.75">
      <c r="A62" s="73"/>
      <c r="B62" s="90" t="s">
        <v>247</v>
      </c>
      <c r="C62" s="91">
        <v>6800</v>
      </c>
      <c r="D62" s="92"/>
      <c r="E62" s="103" t="s">
        <v>207</v>
      </c>
      <c r="F62" s="144">
        <f t="shared" si="8"/>
        <v>0</v>
      </c>
      <c r="G62"/>
      <c r="H62"/>
      <c r="I62"/>
      <c r="J62"/>
      <c r="K62"/>
      <c r="L62"/>
      <c r="M62"/>
      <c r="N62"/>
      <c r="O62"/>
      <c r="P62">
        <f t="shared" si="9"/>
        <v>0</v>
      </c>
      <c r="Q62" s="90" t="s">
        <v>208</v>
      </c>
    </row>
    <row r="63" spans="1:17" s="93" customFormat="1" ht="12.75">
      <c r="A63" s="73"/>
      <c r="B63" s="90" t="s">
        <v>209</v>
      </c>
      <c r="C63" s="91">
        <v>521</v>
      </c>
      <c r="D63" s="92"/>
      <c r="E63" s="103" t="s">
        <v>210</v>
      </c>
      <c r="F63" s="144">
        <f t="shared" si="8"/>
        <v>0</v>
      </c>
      <c r="G63"/>
      <c r="H63"/>
      <c r="I63"/>
      <c r="J63"/>
      <c r="K63"/>
      <c r="L63"/>
      <c r="M63"/>
      <c r="N63"/>
      <c r="O63"/>
      <c r="P63">
        <f t="shared" si="9"/>
        <v>0</v>
      </c>
      <c r="Q63" s="103" t="s">
        <v>211</v>
      </c>
    </row>
    <row r="64" spans="1:17" s="93" customFormat="1" ht="12.75">
      <c r="A64" s="73"/>
      <c r="B64" s="90" t="s">
        <v>242</v>
      </c>
      <c r="C64" s="91">
        <v>5560</v>
      </c>
      <c r="D64" s="92"/>
      <c r="E64" s="103" t="s">
        <v>199</v>
      </c>
      <c r="F64" s="144">
        <f t="shared" si="8"/>
        <v>0</v>
      </c>
      <c r="G64"/>
      <c r="H64"/>
      <c r="I64"/>
      <c r="J64"/>
      <c r="K64"/>
      <c r="L64"/>
      <c r="M64"/>
      <c r="N64"/>
      <c r="O64"/>
      <c r="P64">
        <f t="shared" si="9"/>
        <v>0</v>
      </c>
      <c r="Q64" s="90" t="s">
        <v>200</v>
      </c>
    </row>
    <row r="65" spans="1:17" s="93" customFormat="1" ht="12.75">
      <c r="A65" s="73"/>
      <c r="B65" s="90" t="s">
        <v>212</v>
      </c>
      <c r="C65" s="91">
        <v>160</v>
      </c>
      <c r="D65" s="92"/>
      <c r="E65" s="104" t="s">
        <v>133</v>
      </c>
      <c r="F65" s="144">
        <f t="shared" si="8"/>
        <v>0</v>
      </c>
      <c r="G65"/>
      <c r="H65"/>
      <c r="I65"/>
      <c r="J65"/>
      <c r="K65"/>
      <c r="L65"/>
      <c r="M65"/>
      <c r="N65"/>
      <c r="O65"/>
      <c r="P65">
        <f t="shared" si="9"/>
        <v>0</v>
      </c>
      <c r="Q65" s="90" t="s">
        <v>213</v>
      </c>
    </row>
    <row r="66" spans="1:17" s="93" customFormat="1" ht="12.75">
      <c r="A66" s="73"/>
      <c r="B66" s="90" t="s">
        <v>214</v>
      </c>
      <c r="C66" s="91">
        <v>40</v>
      </c>
      <c r="D66" s="92"/>
      <c r="E66" s="104" t="s">
        <v>152</v>
      </c>
      <c r="F66" s="144">
        <f t="shared" si="8"/>
        <v>0</v>
      </c>
      <c r="G66"/>
      <c r="H66"/>
      <c r="I66"/>
      <c r="J66"/>
      <c r="K66"/>
      <c r="L66"/>
      <c r="M66"/>
      <c r="N66"/>
      <c r="O66"/>
      <c r="P66">
        <f t="shared" si="9"/>
        <v>0</v>
      </c>
      <c r="Q66" s="90" t="s">
        <v>215</v>
      </c>
    </row>
    <row r="67" spans="1:17" s="93" customFormat="1" ht="12.75">
      <c r="A67" s="73"/>
      <c r="B67" s="90" t="s">
        <v>218</v>
      </c>
      <c r="C67" s="91">
        <v>1800</v>
      </c>
      <c r="D67" s="92"/>
      <c r="E67" s="104" t="s">
        <v>221</v>
      </c>
      <c r="F67" s="144">
        <f t="shared" si="8"/>
        <v>0</v>
      </c>
      <c r="G67"/>
      <c r="H67"/>
      <c r="I67"/>
      <c r="J67"/>
      <c r="K67"/>
      <c r="L67"/>
      <c r="M67"/>
      <c r="N67"/>
      <c r="O67"/>
      <c r="P67">
        <f t="shared" si="9"/>
        <v>0</v>
      </c>
      <c r="Q67" s="90" t="s">
        <v>181</v>
      </c>
    </row>
    <row r="68" spans="1:17" s="93" customFormat="1" ht="12.75">
      <c r="A68" s="73"/>
      <c r="B68" s="90" t="s">
        <v>219</v>
      </c>
      <c r="C68" s="91">
        <v>325</v>
      </c>
      <c r="D68" s="92"/>
      <c r="E68" s="103" t="s">
        <v>220</v>
      </c>
      <c r="F68" s="144">
        <f t="shared" si="8"/>
        <v>0</v>
      </c>
      <c r="G68"/>
      <c r="H68"/>
      <c r="I68"/>
      <c r="J68"/>
      <c r="K68"/>
      <c r="L68"/>
      <c r="M68"/>
      <c r="N68"/>
      <c r="O68"/>
      <c r="P68">
        <f t="shared" si="9"/>
        <v>0</v>
      </c>
      <c r="Q68" s="90" t="s">
        <v>181</v>
      </c>
    </row>
    <row r="69" spans="1:17" s="93" customFormat="1" ht="12.75">
      <c r="A69" s="73"/>
      <c r="B69" s="90" t="s">
        <v>42</v>
      </c>
      <c r="C69" s="91">
        <v>300</v>
      </c>
      <c r="D69" s="92"/>
      <c r="E69" s="103" t="s">
        <v>231</v>
      </c>
      <c r="F69" s="144">
        <f t="shared" si="8"/>
        <v>0</v>
      </c>
      <c r="G69"/>
      <c r="H69"/>
      <c r="I69"/>
      <c r="J69"/>
      <c r="K69"/>
      <c r="L69"/>
      <c r="M69"/>
      <c r="N69"/>
      <c r="O69"/>
      <c r="P69">
        <f t="shared" si="9"/>
        <v>0</v>
      </c>
      <c r="Q69" s="90" t="s">
        <v>181</v>
      </c>
    </row>
    <row r="70" spans="1:17" s="93" customFormat="1" ht="12.75">
      <c r="A70" s="73"/>
      <c r="B70" s="65" t="s">
        <v>222</v>
      </c>
      <c r="C70" s="66">
        <v>5500</v>
      </c>
      <c r="D70" s="67"/>
      <c r="E70" s="65" t="s">
        <v>223</v>
      </c>
      <c r="F70" s="144">
        <f t="shared" si="8"/>
        <v>0</v>
      </c>
      <c r="G70"/>
      <c r="H70"/>
      <c r="I70"/>
      <c r="J70"/>
      <c r="K70"/>
      <c r="L70"/>
      <c r="M70"/>
      <c r="N70"/>
      <c r="O70"/>
      <c r="P70">
        <f t="shared" si="9"/>
        <v>0</v>
      </c>
      <c r="Q70" s="90" t="s">
        <v>224</v>
      </c>
    </row>
    <row r="71" spans="1:17" s="93" customFormat="1" ht="12.75">
      <c r="A71" s="73"/>
      <c r="B71" s="65" t="s">
        <v>225</v>
      </c>
      <c r="C71" s="66">
        <v>320</v>
      </c>
      <c r="D71" s="67"/>
      <c r="E71" s="65" t="s">
        <v>226</v>
      </c>
      <c r="F71" s="144">
        <f t="shared" si="8"/>
        <v>0</v>
      </c>
      <c r="G71"/>
      <c r="H71"/>
      <c r="I71"/>
      <c r="J71"/>
      <c r="K71"/>
      <c r="L71"/>
      <c r="M71"/>
      <c r="N71"/>
      <c r="O71"/>
      <c r="P71">
        <f t="shared" si="9"/>
        <v>0</v>
      </c>
      <c r="Q71" s="90" t="s">
        <v>224</v>
      </c>
    </row>
    <row r="72" spans="1:17" s="93" customFormat="1" ht="12.75">
      <c r="A72" s="73"/>
      <c r="B72" s="65" t="s">
        <v>227</v>
      </c>
      <c r="C72" s="66">
        <v>185</v>
      </c>
      <c r="D72" s="67"/>
      <c r="E72" s="65" t="s">
        <v>228</v>
      </c>
      <c r="F72" s="144">
        <f t="shared" si="8"/>
        <v>0</v>
      </c>
      <c r="G72"/>
      <c r="H72"/>
      <c r="I72"/>
      <c r="J72"/>
      <c r="K72"/>
      <c r="L72"/>
      <c r="M72"/>
      <c r="N72"/>
      <c r="O72"/>
      <c r="P72">
        <f t="shared" si="9"/>
        <v>0</v>
      </c>
      <c r="Q72" s="90" t="s">
        <v>224</v>
      </c>
    </row>
    <row r="73" spans="1:17" s="93" customFormat="1" ht="12.75">
      <c r="A73" s="73"/>
      <c r="B73" s="65" t="s">
        <v>232</v>
      </c>
      <c r="C73" s="66">
        <v>450</v>
      </c>
      <c r="D73" s="67"/>
      <c r="E73" s="65" t="s">
        <v>233</v>
      </c>
      <c r="F73" s="144">
        <f t="shared" si="8"/>
        <v>0</v>
      </c>
      <c r="G73"/>
      <c r="H73"/>
      <c r="I73"/>
      <c r="J73"/>
      <c r="K73"/>
      <c r="L73"/>
      <c r="M73"/>
      <c r="N73"/>
      <c r="O73"/>
      <c r="P73">
        <f t="shared" si="9"/>
        <v>0</v>
      </c>
      <c r="Q73" s="90" t="s">
        <v>234</v>
      </c>
    </row>
    <row r="74" spans="1:17" s="93" customFormat="1" ht="12.75">
      <c r="A74" s="73"/>
      <c r="B74" s="65" t="s">
        <v>238</v>
      </c>
      <c r="C74" s="66">
        <v>70</v>
      </c>
      <c r="D74" s="67"/>
      <c r="E74" s="65" t="s">
        <v>309</v>
      </c>
      <c r="F74" s="144">
        <f t="shared" si="8"/>
        <v>0</v>
      </c>
      <c r="G74"/>
      <c r="H74"/>
      <c r="I74"/>
      <c r="J74"/>
      <c r="K74"/>
      <c r="L74"/>
      <c r="M74"/>
      <c r="N74"/>
      <c r="O74"/>
      <c r="P74">
        <f t="shared" si="9"/>
        <v>0</v>
      </c>
      <c r="Q74" s="90" t="s">
        <v>183</v>
      </c>
    </row>
    <row r="75" spans="1:17" s="93" customFormat="1" ht="12.75">
      <c r="A75" s="73"/>
      <c r="B75" s="90" t="s">
        <v>147</v>
      </c>
      <c r="C75" s="91">
        <v>260</v>
      </c>
      <c r="D75" s="92"/>
      <c r="E75" s="103" t="s">
        <v>148</v>
      </c>
      <c r="F75" s="144">
        <f t="shared" si="8"/>
        <v>0</v>
      </c>
      <c r="G75"/>
      <c r="H75"/>
      <c r="I75"/>
      <c r="J75"/>
      <c r="K75"/>
      <c r="L75"/>
      <c r="M75"/>
      <c r="N75"/>
      <c r="O75"/>
      <c r="P75">
        <f>IF(A75="",0,CONCATENATE(TEXT(YEAR(A75),0),TEXT(MONTH(A75),0)))</f>
        <v>0</v>
      </c>
      <c r="Q75" s="68" t="s">
        <v>186</v>
      </c>
    </row>
    <row r="76" spans="1:17" s="93" customFormat="1" ht="12.75">
      <c r="A76" s="73"/>
      <c r="B76" s="65" t="s">
        <v>237</v>
      </c>
      <c r="C76" s="66">
        <v>1600</v>
      </c>
      <c r="D76" s="67"/>
      <c r="E76" s="65" t="s">
        <v>310</v>
      </c>
      <c r="F76" s="144">
        <f t="shared" si="8"/>
        <v>0</v>
      </c>
      <c r="G76"/>
      <c r="H76"/>
      <c r="I76"/>
      <c r="J76"/>
      <c r="K76"/>
      <c r="L76"/>
      <c r="M76"/>
      <c r="N76"/>
      <c r="O76"/>
      <c r="P76">
        <f t="shared" si="9"/>
        <v>0</v>
      </c>
      <c r="Q76" s="90" t="s">
        <v>215</v>
      </c>
    </row>
    <row r="77" spans="1:17" s="93" customFormat="1" ht="12.75">
      <c r="A77" s="73"/>
      <c r="B77" s="65" t="s">
        <v>238</v>
      </c>
      <c r="C77" s="66">
        <v>320</v>
      </c>
      <c r="D77" s="67"/>
      <c r="E77" s="65" t="s">
        <v>239</v>
      </c>
      <c r="F77" s="144">
        <f t="shared" si="8"/>
        <v>0</v>
      </c>
      <c r="G77"/>
      <c r="H77"/>
      <c r="I77"/>
      <c r="J77"/>
      <c r="K77"/>
      <c r="L77"/>
      <c r="M77"/>
      <c r="N77"/>
      <c r="O77"/>
      <c r="P77">
        <f t="shared" si="9"/>
        <v>0</v>
      </c>
      <c r="Q77" s="90" t="s">
        <v>215</v>
      </c>
    </row>
    <row r="78" spans="1:17" s="93" customFormat="1" ht="12.75">
      <c r="A78" s="73"/>
      <c r="B78" s="65" t="s">
        <v>240</v>
      </c>
      <c r="C78" s="66">
        <v>560</v>
      </c>
      <c r="D78" s="67"/>
      <c r="E78" s="65" t="s">
        <v>241</v>
      </c>
      <c r="F78" s="144">
        <f t="shared" si="8"/>
        <v>0</v>
      </c>
      <c r="G78"/>
      <c r="H78"/>
      <c r="I78"/>
      <c r="J78"/>
      <c r="K78"/>
      <c r="L78"/>
      <c r="M78"/>
      <c r="N78"/>
      <c r="O78"/>
      <c r="P78">
        <f t="shared" si="9"/>
        <v>0</v>
      </c>
      <c r="Q78" s="90" t="s">
        <v>215</v>
      </c>
    </row>
    <row r="79" spans="1:17" s="93" customFormat="1" ht="12.75">
      <c r="A79" s="73"/>
      <c r="B79" s="65" t="s">
        <v>243</v>
      </c>
      <c r="C79" s="66">
        <v>500</v>
      </c>
      <c r="D79" s="67"/>
      <c r="E79" s="65" t="s">
        <v>244</v>
      </c>
      <c r="F79" s="144">
        <f t="shared" si="8"/>
        <v>0</v>
      </c>
      <c r="G79"/>
      <c r="H79"/>
      <c r="I79"/>
      <c r="J79"/>
      <c r="K79"/>
      <c r="L79"/>
      <c r="M79"/>
      <c r="N79"/>
      <c r="O79"/>
      <c r="P79">
        <f t="shared" si="9"/>
        <v>0</v>
      </c>
      <c r="Q79" s="90" t="s">
        <v>234</v>
      </c>
    </row>
    <row r="80" spans="1:17" s="93" customFormat="1" ht="12.75">
      <c r="A80" s="73"/>
      <c r="B80" s="65" t="s">
        <v>245</v>
      </c>
      <c r="C80" s="66">
        <v>2000</v>
      </c>
      <c r="D80" s="67"/>
      <c r="E80" s="65"/>
      <c r="F80" s="144">
        <f t="shared" si="8"/>
        <v>0</v>
      </c>
      <c r="G80"/>
      <c r="H80"/>
      <c r="I80"/>
      <c r="J80"/>
      <c r="K80"/>
      <c r="L80"/>
      <c r="M80"/>
      <c r="N80"/>
      <c r="O80"/>
      <c r="P80">
        <f t="shared" si="9"/>
        <v>0</v>
      </c>
      <c r="Q80" s="90" t="s">
        <v>246</v>
      </c>
    </row>
    <row r="81" spans="1:17" s="93" customFormat="1" ht="12.75">
      <c r="A81" s="73"/>
      <c r="B81" s="90" t="s">
        <v>147</v>
      </c>
      <c r="C81" s="91">
        <v>200</v>
      </c>
      <c r="D81" s="92"/>
      <c r="E81" s="103" t="s">
        <v>148</v>
      </c>
      <c r="F81" s="144">
        <f t="shared" si="8"/>
        <v>0</v>
      </c>
      <c r="G81"/>
      <c r="H81"/>
      <c r="I81"/>
      <c r="J81"/>
      <c r="K81"/>
      <c r="L81"/>
      <c r="M81"/>
      <c r="N81"/>
      <c r="O81"/>
      <c r="P81">
        <f t="shared" si="9"/>
        <v>0</v>
      </c>
      <c r="Q81" s="68" t="s">
        <v>178</v>
      </c>
    </row>
    <row r="82" spans="1:17" s="93" customFormat="1" ht="12.75">
      <c r="A82" s="73"/>
      <c r="B82" s="65" t="s">
        <v>238</v>
      </c>
      <c r="C82" s="66">
        <v>280</v>
      </c>
      <c r="D82" s="67"/>
      <c r="E82" s="65" t="s">
        <v>239</v>
      </c>
      <c r="F82" s="144">
        <f aca="true" t="shared" si="10" ref="F82:F91">IF(D82="+",C82,0)</f>
        <v>0</v>
      </c>
      <c r="G82"/>
      <c r="H82"/>
      <c r="I82"/>
      <c r="J82"/>
      <c r="K82"/>
      <c r="L82"/>
      <c r="M82"/>
      <c r="N82"/>
      <c r="O82"/>
      <c r="P82">
        <f>IF(A82="",0,CONCATENATE(TEXT(YEAR(A82),0),TEXT(MONTH(A82),0)))</f>
        <v>0</v>
      </c>
      <c r="Q82" s="90" t="s">
        <v>215</v>
      </c>
    </row>
    <row r="83" spans="1:17" s="93" customFormat="1" ht="12.75">
      <c r="A83" s="73"/>
      <c r="B83" s="90" t="s">
        <v>41</v>
      </c>
      <c r="C83" s="91">
        <v>250</v>
      </c>
      <c r="D83" s="92"/>
      <c r="E83" s="105" t="s">
        <v>251</v>
      </c>
      <c r="F83" s="144">
        <f t="shared" si="10"/>
        <v>0</v>
      </c>
      <c r="G83"/>
      <c r="H83"/>
      <c r="I83"/>
      <c r="J83"/>
      <c r="K83"/>
      <c r="L83"/>
      <c r="M83"/>
      <c r="N83"/>
      <c r="O83"/>
      <c r="P83">
        <f>IF(A83="",0,CONCATENATE(TEXT(YEAR(A83),0),TEXT(MONTH(A83),0)))</f>
        <v>0</v>
      </c>
      <c r="Q83" s="90" t="s">
        <v>215</v>
      </c>
    </row>
    <row r="84" spans="1:17" s="93" customFormat="1" ht="12.75">
      <c r="A84" s="73"/>
      <c r="B84" s="90" t="s">
        <v>40</v>
      </c>
      <c r="C84" s="91">
        <v>1550</v>
      </c>
      <c r="D84" s="92"/>
      <c r="E84" s="104" t="s">
        <v>305</v>
      </c>
      <c r="F84" s="144">
        <f t="shared" si="10"/>
        <v>0</v>
      </c>
      <c r="G84"/>
      <c r="H84"/>
      <c r="I84"/>
      <c r="J84"/>
      <c r="K84"/>
      <c r="L84"/>
      <c r="M84"/>
      <c r="N84"/>
      <c r="O84"/>
      <c r="P84">
        <f>IF(A84="",0,CONCATENATE(TEXT(YEAR(A84),0),TEXT(MONTH(A84),0)))</f>
        <v>0</v>
      </c>
      <c r="Q84" s="90" t="s">
        <v>215</v>
      </c>
    </row>
    <row r="85" spans="1:17" s="93" customFormat="1" ht="12.75">
      <c r="A85" s="73"/>
      <c r="B85" s="90" t="s">
        <v>248</v>
      </c>
      <c r="C85" s="91">
        <v>50</v>
      </c>
      <c r="D85" s="92"/>
      <c r="E85" s="103"/>
      <c r="F85" s="144">
        <f t="shared" si="10"/>
        <v>0</v>
      </c>
      <c r="G85"/>
      <c r="H85"/>
      <c r="I85"/>
      <c r="J85"/>
      <c r="K85"/>
      <c r="L85"/>
      <c r="M85"/>
      <c r="N85"/>
      <c r="O85"/>
      <c r="P85">
        <f t="shared" si="9"/>
        <v>0</v>
      </c>
      <c r="Q85" s="90" t="s">
        <v>215</v>
      </c>
    </row>
    <row r="86" spans="1:18" s="93" customFormat="1" ht="12.75">
      <c r="A86" s="73"/>
      <c r="B86" s="90" t="s">
        <v>249</v>
      </c>
      <c r="C86" s="91">
        <v>350</v>
      </c>
      <c r="D86" s="92"/>
      <c r="E86" s="104" t="s">
        <v>250</v>
      </c>
      <c r="F86" s="144">
        <f t="shared" si="10"/>
        <v>0</v>
      </c>
      <c r="G86"/>
      <c r="H86"/>
      <c r="I86"/>
      <c r="J86"/>
      <c r="K86"/>
      <c r="L86"/>
      <c r="M86"/>
      <c r="N86"/>
      <c r="O86"/>
      <c r="P86">
        <f t="shared" si="9"/>
        <v>0</v>
      </c>
      <c r="Q86" s="68" t="s">
        <v>178</v>
      </c>
      <c r="R86" s="93" t="s">
        <v>268</v>
      </c>
    </row>
    <row r="87" spans="1:17" s="93" customFormat="1" ht="12.75">
      <c r="A87" s="73"/>
      <c r="B87" s="90" t="s">
        <v>147</v>
      </c>
      <c r="C87" s="91">
        <v>260</v>
      </c>
      <c r="D87" s="92"/>
      <c r="E87" s="103" t="s">
        <v>148</v>
      </c>
      <c r="F87" s="144">
        <f t="shared" si="10"/>
        <v>0</v>
      </c>
      <c r="G87"/>
      <c r="H87"/>
      <c r="I87"/>
      <c r="J87"/>
      <c r="K87"/>
      <c r="L87"/>
      <c r="M87"/>
      <c r="N87"/>
      <c r="O87"/>
      <c r="P87">
        <f t="shared" si="9"/>
        <v>0</v>
      </c>
      <c r="Q87" s="90" t="s">
        <v>215</v>
      </c>
    </row>
    <row r="88" spans="1:17" s="93" customFormat="1" ht="12.75">
      <c r="A88" s="73"/>
      <c r="B88" s="90" t="s">
        <v>253</v>
      </c>
      <c r="C88" s="91">
        <v>160</v>
      </c>
      <c r="D88" s="92"/>
      <c r="E88" s="103" t="s">
        <v>269</v>
      </c>
      <c r="F88" s="144">
        <f t="shared" si="10"/>
        <v>0</v>
      </c>
      <c r="G88"/>
      <c r="H88"/>
      <c r="I88"/>
      <c r="J88"/>
      <c r="K88"/>
      <c r="L88"/>
      <c r="M88"/>
      <c r="N88"/>
      <c r="O88"/>
      <c r="P88">
        <f t="shared" si="9"/>
        <v>0</v>
      </c>
      <c r="Q88" s="90" t="s">
        <v>254</v>
      </c>
    </row>
    <row r="89" spans="1:17" s="93" customFormat="1" ht="12.75">
      <c r="A89" s="73"/>
      <c r="B89" s="90" t="s">
        <v>256</v>
      </c>
      <c r="C89" s="91">
        <v>260</v>
      </c>
      <c r="D89" s="92"/>
      <c r="E89" s="103"/>
      <c r="F89" s="144">
        <f t="shared" si="10"/>
        <v>0</v>
      </c>
      <c r="G89"/>
      <c r="H89"/>
      <c r="I89"/>
      <c r="J89"/>
      <c r="K89"/>
      <c r="L89"/>
      <c r="M89"/>
      <c r="N89"/>
      <c r="O89"/>
      <c r="P89">
        <f t="shared" si="9"/>
        <v>0</v>
      </c>
      <c r="Q89" s="90" t="s">
        <v>181</v>
      </c>
    </row>
    <row r="90" spans="1:17" s="93" customFormat="1" ht="12.75">
      <c r="A90" s="73"/>
      <c r="B90" s="90" t="s">
        <v>257</v>
      </c>
      <c r="C90" s="91">
        <v>2544</v>
      </c>
      <c r="D90" s="92"/>
      <c r="E90" s="103" t="s">
        <v>258</v>
      </c>
      <c r="F90" s="144">
        <f t="shared" si="10"/>
        <v>0</v>
      </c>
      <c r="G90"/>
      <c r="H90"/>
      <c r="I90"/>
      <c r="J90"/>
      <c r="K90"/>
      <c r="L90"/>
      <c r="M90"/>
      <c r="N90"/>
      <c r="O90"/>
      <c r="P90">
        <f t="shared" si="9"/>
        <v>0</v>
      </c>
      <c r="Q90" s="90" t="s">
        <v>259</v>
      </c>
    </row>
    <row r="91" spans="1:17" s="93" customFormat="1" ht="12.75">
      <c r="A91" s="73"/>
      <c r="B91" s="90" t="s">
        <v>260</v>
      </c>
      <c r="C91" s="91">
        <v>320</v>
      </c>
      <c r="D91" s="92"/>
      <c r="E91" s="103" t="s">
        <v>261</v>
      </c>
      <c r="F91" s="144">
        <f t="shared" si="10"/>
        <v>0</v>
      </c>
      <c r="G91"/>
      <c r="H91"/>
      <c r="I91"/>
      <c r="J91"/>
      <c r="K91"/>
      <c r="L91"/>
      <c r="M91"/>
      <c r="N91"/>
      <c r="O91"/>
      <c r="P91">
        <f t="shared" si="9"/>
        <v>0</v>
      </c>
      <c r="Q91" s="90" t="s">
        <v>262</v>
      </c>
    </row>
    <row r="92" spans="1:18" s="93" customFormat="1" ht="12.75">
      <c r="A92" s="73"/>
      <c r="B92" s="90" t="s">
        <v>153</v>
      </c>
      <c r="C92" s="91">
        <v>4500</v>
      </c>
      <c r="D92" s="92"/>
      <c r="E92" s="103" t="s">
        <v>265</v>
      </c>
      <c r="F92" s="145">
        <f>IF(D92="+",C92,0)</f>
        <v>0</v>
      </c>
      <c r="P92">
        <f>IF(A92="",0,CONCATENATE(TEXT(YEAR(A92),0),TEXT(MONTH(A92),0)))</f>
        <v>0</v>
      </c>
      <c r="Q92" s="90" t="s">
        <v>200</v>
      </c>
      <c r="R92" s="93" t="s">
        <v>266</v>
      </c>
    </row>
    <row r="93" spans="1:17" s="93" customFormat="1" ht="12.75">
      <c r="A93" s="73"/>
      <c r="B93" s="90" t="s">
        <v>238</v>
      </c>
      <c r="C93" s="91">
        <v>100</v>
      </c>
      <c r="D93" s="92"/>
      <c r="E93" s="104" t="s">
        <v>272</v>
      </c>
      <c r="F93" s="145">
        <f>IF(D93="+",C93,0)</f>
        <v>0</v>
      </c>
      <c r="P93">
        <f>IF(A93="",0,CONCATENATE(TEXT(YEAR(A93),0),TEXT(MONTH(A93),0)))</f>
        <v>0</v>
      </c>
      <c r="Q93" s="90" t="s">
        <v>273</v>
      </c>
    </row>
    <row r="94" spans="1:17" s="93" customFormat="1" ht="12.75">
      <c r="A94" s="73"/>
      <c r="B94" s="90" t="s">
        <v>274</v>
      </c>
      <c r="C94" s="91">
        <v>175</v>
      </c>
      <c r="D94" s="92"/>
      <c r="E94" s="104" t="s">
        <v>277</v>
      </c>
      <c r="F94" s="145">
        <f>IF(D94="+",C94,0)</f>
        <v>0</v>
      </c>
      <c r="P94">
        <f>IF(A94="",0,CONCATENATE(TEXT(YEAR(A94),0),TEXT(MONTH(A94),0)))</f>
        <v>0</v>
      </c>
      <c r="Q94" s="90" t="s">
        <v>200</v>
      </c>
    </row>
    <row r="95" spans="1:17" s="93" customFormat="1" ht="12.75">
      <c r="A95" s="73"/>
      <c r="B95" s="90" t="s">
        <v>275</v>
      </c>
      <c r="C95" s="91">
        <v>139</v>
      </c>
      <c r="D95" s="92"/>
      <c r="E95" s="104"/>
      <c r="F95" s="145">
        <f>IF(D95="+",C95,0)</f>
        <v>0</v>
      </c>
      <c r="P95">
        <f>IF(A95="",0,CONCATENATE(TEXT(YEAR(A95),0),TEXT(MONTH(A95),0)))</f>
        <v>0</v>
      </c>
      <c r="Q95" s="90" t="s">
        <v>200</v>
      </c>
    </row>
    <row r="96" spans="1:17" s="93" customFormat="1" ht="12.75">
      <c r="A96" s="73"/>
      <c r="B96" s="90" t="s">
        <v>147</v>
      </c>
      <c r="C96" s="91">
        <v>260</v>
      </c>
      <c r="D96" s="92"/>
      <c r="E96" s="103" t="s">
        <v>148</v>
      </c>
      <c r="F96" s="144">
        <f aca="true" t="shared" si="11" ref="F96:F101">IF(D96="+",C96,0)</f>
        <v>0</v>
      </c>
      <c r="G96"/>
      <c r="H96"/>
      <c r="I96"/>
      <c r="J96"/>
      <c r="K96"/>
      <c r="L96"/>
      <c r="M96"/>
      <c r="N96"/>
      <c r="O96"/>
      <c r="P96">
        <f aca="true" t="shared" si="12" ref="P96:P102">IF(A96="",0,CONCATENATE(TEXT(YEAR(A96),0),TEXT(MONTH(A96),0)))</f>
        <v>0</v>
      </c>
      <c r="Q96" s="68" t="s">
        <v>178</v>
      </c>
    </row>
    <row r="97" spans="1:17" s="93" customFormat="1" ht="12.75">
      <c r="A97" s="73"/>
      <c r="B97" s="90" t="s">
        <v>40</v>
      </c>
      <c r="C97" s="91">
        <v>1230</v>
      </c>
      <c r="D97" s="92"/>
      <c r="E97" s="103" t="s">
        <v>285</v>
      </c>
      <c r="F97" s="144">
        <f t="shared" si="11"/>
        <v>0</v>
      </c>
      <c r="G97"/>
      <c r="H97"/>
      <c r="I97"/>
      <c r="J97"/>
      <c r="K97"/>
      <c r="L97"/>
      <c r="M97"/>
      <c r="N97"/>
      <c r="O97"/>
      <c r="P97">
        <f t="shared" si="12"/>
        <v>0</v>
      </c>
      <c r="Q97" s="90" t="s">
        <v>181</v>
      </c>
    </row>
    <row r="98" spans="1:18" s="93" customFormat="1" ht="12.75">
      <c r="A98" s="73"/>
      <c r="B98" s="90" t="s">
        <v>179</v>
      </c>
      <c r="C98" s="91">
        <v>335</v>
      </c>
      <c r="D98" s="92"/>
      <c r="E98" s="104" t="s">
        <v>279</v>
      </c>
      <c r="F98" s="145">
        <f t="shared" si="11"/>
        <v>0</v>
      </c>
      <c r="P98">
        <f t="shared" si="12"/>
        <v>0</v>
      </c>
      <c r="Q98" s="90" t="s">
        <v>181</v>
      </c>
      <c r="R98" s="93" t="s">
        <v>278</v>
      </c>
    </row>
    <row r="99" spans="1:18" s="93" customFormat="1" ht="12.75">
      <c r="A99" s="73"/>
      <c r="B99" s="90" t="s">
        <v>42</v>
      </c>
      <c r="C99" s="91">
        <v>285</v>
      </c>
      <c r="D99" s="92"/>
      <c r="E99" s="104" t="s">
        <v>280</v>
      </c>
      <c r="F99" s="145">
        <f t="shared" si="11"/>
        <v>0</v>
      </c>
      <c r="P99">
        <f t="shared" si="12"/>
        <v>0</v>
      </c>
      <c r="Q99" s="90" t="s">
        <v>181</v>
      </c>
      <c r="R99" s="93" t="s">
        <v>281</v>
      </c>
    </row>
    <row r="100" spans="1:18" s="93" customFormat="1" ht="12.75">
      <c r="A100" s="73"/>
      <c r="B100" s="90" t="s">
        <v>41</v>
      </c>
      <c r="C100" s="91">
        <v>250</v>
      </c>
      <c r="D100" s="92"/>
      <c r="E100" s="104" t="s">
        <v>282</v>
      </c>
      <c r="F100" s="145">
        <f t="shared" si="11"/>
        <v>0</v>
      </c>
      <c r="P100">
        <f t="shared" si="12"/>
        <v>0</v>
      </c>
      <c r="Q100" s="90" t="s">
        <v>283</v>
      </c>
      <c r="R100" s="93" t="s">
        <v>284</v>
      </c>
    </row>
    <row r="101" spans="1:17" s="93" customFormat="1" ht="12.75">
      <c r="A101" s="73"/>
      <c r="B101" s="90" t="s">
        <v>212</v>
      </c>
      <c r="C101" s="91">
        <v>200</v>
      </c>
      <c r="D101" s="92"/>
      <c r="E101" s="104" t="s">
        <v>133</v>
      </c>
      <c r="F101" s="145">
        <f t="shared" si="11"/>
        <v>0</v>
      </c>
      <c r="P101">
        <f t="shared" si="12"/>
        <v>0</v>
      </c>
      <c r="Q101" s="90" t="s">
        <v>283</v>
      </c>
    </row>
    <row r="102" spans="1:17" s="93" customFormat="1" ht="12.75">
      <c r="A102" s="73"/>
      <c r="B102" s="90" t="s">
        <v>147</v>
      </c>
      <c r="C102" s="91">
        <v>260</v>
      </c>
      <c r="D102" s="92"/>
      <c r="E102" s="105" t="s">
        <v>148</v>
      </c>
      <c r="F102" s="145"/>
      <c r="P102">
        <f t="shared" si="12"/>
        <v>0</v>
      </c>
      <c r="Q102" s="68" t="s">
        <v>186</v>
      </c>
    </row>
    <row r="103" spans="1:17" s="93" customFormat="1" ht="12.75">
      <c r="A103" s="73"/>
      <c r="B103" s="90" t="s">
        <v>156</v>
      </c>
      <c r="C103" s="91">
        <v>3250</v>
      </c>
      <c r="D103" s="92"/>
      <c r="E103" s="103" t="s">
        <v>297</v>
      </c>
      <c r="F103" s="145">
        <f aca="true" t="shared" si="13" ref="F103:F110">IF(D103="+",C103,0)</f>
        <v>0</v>
      </c>
      <c r="P103">
        <f aca="true" t="shared" si="14" ref="P103:P110">IF(A103="",0,CONCATENATE(TEXT(YEAR(A103),0),TEXT(MONTH(A103),0)))</f>
        <v>0</v>
      </c>
      <c r="Q103" s="90" t="s">
        <v>181</v>
      </c>
    </row>
    <row r="104" spans="1:17" s="93" customFormat="1" ht="12.75">
      <c r="A104" s="73"/>
      <c r="B104" s="90" t="s">
        <v>286</v>
      </c>
      <c r="C104" s="91">
        <v>640</v>
      </c>
      <c r="D104" s="92"/>
      <c r="E104" s="103" t="s">
        <v>295</v>
      </c>
      <c r="F104" s="145">
        <f t="shared" si="13"/>
        <v>0</v>
      </c>
      <c r="P104">
        <f t="shared" si="14"/>
        <v>0</v>
      </c>
      <c r="Q104" s="90" t="s">
        <v>181</v>
      </c>
    </row>
    <row r="105" spans="1:17" s="93" customFormat="1" ht="12.75">
      <c r="A105" s="73"/>
      <c r="B105" s="90" t="s">
        <v>287</v>
      </c>
      <c r="C105" s="91">
        <v>650</v>
      </c>
      <c r="D105" s="92"/>
      <c r="E105" s="103" t="s">
        <v>294</v>
      </c>
      <c r="F105" s="145">
        <f t="shared" si="13"/>
        <v>0</v>
      </c>
      <c r="P105">
        <f t="shared" si="14"/>
        <v>0</v>
      </c>
      <c r="Q105" s="90" t="s">
        <v>181</v>
      </c>
    </row>
    <row r="106" spans="1:17" s="93" customFormat="1" ht="12.75">
      <c r="A106" s="73"/>
      <c r="B106" s="90" t="s">
        <v>288</v>
      </c>
      <c r="C106" s="91">
        <v>550</v>
      </c>
      <c r="D106" s="92"/>
      <c r="E106" s="103" t="s">
        <v>293</v>
      </c>
      <c r="F106" s="145">
        <f t="shared" si="13"/>
        <v>0</v>
      </c>
      <c r="P106">
        <f t="shared" si="14"/>
        <v>0</v>
      </c>
      <c r="Q106" s="90" t="s">
        <v>181</v>
      </c>
    </row>
    <row r="107" spans="1:17" s="93" customFormat="1" ht="12.75">
      <c r="A107" s="73"/>
      <c r="B107" s="90" t="s">
        <v>289</v>
      </c>
      <c r="C107" s="91">
        <v>300</v>
      </c>
      <c r="D107" s="92"/>
      <c r="E107" s="103" t="s">
        <v>298</v>
      </c>
      <c r="F107" s="145">
        <f t="shared" si="13"/>
        <v>0</v>
      </c>
      <c r="P107">
        <f t="shared" si="14"/>
        <v>0</v>
      </c>
      <c r="Q107" s="90" t="s">
        <v>181</v>
      </c>
    </row>
    <row r="108" spans="1:17" s="93" customFormat="1" ht="12.75">
      <c r="A108" s="73"/>
      <c r="B108" s="90" t="s">
        <v>290</v>
      </c>
      <c r="C108" s="91">
        <v>150</v>
      </c>
      <c r="D108" s="92"/>
      <c r="E108" s="103" t="s">
        <v>299</v>
      </c>
      <c r="F108" s="145">
        <f t="shared" si="13"/>
        <v>0</v>
      </c>
      <c r="P108">
        <f t="shared" si="14"/>
        <v>0</v>
      </c>
      <c r="Q108" s="90" t="s">
        <v>181</v>
      </c>
    </row>
    <row r="109" spans="1:17" s="93" customFormat="1" ht="12.75">
      <c r="A109" s="73"/>
      <c r="B109" s="90" t="s">
        <v>291</v>
      </c>
      <c r="C109" s="91">
        <v>360</v>
      </c>
      <c r="D109" s="92"/>
      <c r="E109" s="103" t="s">
        <v>300</v>
      </c>
      <c r="F109" s="145">
        <f t="shared" si="13"/>
        <v>0</v>
      </c>
      <c r="P109">
        <f t="shared" si="14"/>
        <v>0</v>
      </c>
      <c r="Q109" s="90" t="s">
        <v>181</v>
      </c>
    </row>
    <row r="110" spans="1:17" s="93" customFormat="1" ht="12.75">
      <c r="A110" s="73"/>
      <c r="B110" s="90" t="s">
        <v>292</v>
      </c>
      <c r="C110" s="91">
        <v>700</v>
      </c>
      <c r="D110" s="92"/>
      <c r="E110" s="103" t="s">
        <v>301</v>
      </c>
      <c r="F110" s="145">
        <f t="shared" si="13"/>
        <v>0</v>
      </c>
      <c r="P110">
        <f t="shared" si="14"/>
        <v>0</v>
      </c>
      <c r="Q110" s="90" t="s">
        <v>181</v>
      </c>
    </row>
    <row r="111" spans="1:17" s="93" customFormat="1" ht="12.75">
      <c r="A111" s="73"/>
      <c r="B111" s="90" t="s">
        <v>157</v>
      </c>
      <c r="C111" s="91">
        <v>3410</v>
      </c>
      <c r="D111" s="92"/>
      <c r="E111" s="105" t="s">
        <v>306</v>
      </c>
      <c r="F111" s="145">
        <f aca="true" t="shared" si="15" ref="F111:F118">IF(D111="+",C111,0)</f>
        <v>0</v>
      </c>
      <c r="P111">
        <f>IF(A111="",0,CONCATENATE(TEXT(YEAR(A111),0),TEXT(MONTH(A111),0)))</f>
        <v>0</v>
      </c>
      <c r="Q111" s="90" t="s">
        <v>181</v>
      </c>
    </row>
    <row r="112" spans="1:17" s="93" customFormat="1" ht="12.75">
      <c r="A112" s="73"/>
      <c r="B112" s="90" t="s">
        <v>296</v>
      </c>
      <c r="C112" s="91">
        <v>550</v>
      </c>
      <c r="D112" s="92"/>
      <c r="E112" s="103" t="s">
        <v>302</v>
      </c>
      <c r="F112" s="145">
        <f t="shared" si="15"/>
        <v>0</v>
      </c>
      <c r="P112">
        <f>IF(A112="",0,CONCATENATE(TEXT(YEAR(A112),0),TEXT(MONTH(A112),0)))</f>
        <v>0</v>
      </c>
      <c r="Q112" s="90" t="s">
        <v>181</v>
      </c>
    </row>
    <row r="113" spans="1:17" s="93" customFormat="1" ht="12.75">
      <c r="A113" s="73"/>
      <c r="B113" s="90" t="s">
        <v>147</v>
      </c>
      <c r="C113" s="91">
        <v>260</v>
      </c>
      <c r="D113" s="92"/>
      <c r="E113" s="103" t="s">
        <v>148</v>
      </c>
      <c r="F113" s="144">
        <f t="shared" si="15"/>
        <v>0</v>
      </c>
      <c r="G113"/>
      <c r="H113"/>
      <c r="I113"/>
      <c r="J113"/>
      <c r="K113"/>
      <c r="L113"/>
      <c r="M113"/>
      <c r="N113"/>
      <c r="O113"/>
      <c r="P113">
        <f>IF(A113="",0,CONCATENATE(TEXT(YEAR(A113),0),TEXT(MONTH(A113),0)))</f>
        <v>0</v>
      </c>
      <c r="Q113" s="90" t="s">
        <v>303</v>
      </c>
    </row>
    <row r="114" spans="1:17" s="93" customFormat="1" ht="12.75">
      <c r="A114" s="73"/>
      <c r="B114" s="90" t="s">
        <v>304</v>
      </c>
      <c r="C114" s="91">
        <v>40</v>
      </c>
      <c r="D114" s="92"/>
      <c r="E114" s="104" t="s">
        <v>311</v>
      </c>
      <c r="F114" s="144">
        <f t="shared" si="15"/>
        <v>0</v>
      </c>
      <c r="G114"/>
      <c r="H114"/>
      <c r="I114"/>
      <c r="J114"/>
      <c r="K114"/>
      <c r="L114"/>
      <c r="M114"/>
      <c r="N114"/>
      <c r="O114"/>
      <c r="P114">
        <f>IF(A114="",0,CONCATENATE(TEXT(YEAR(A114),0),TEXT(MONTH(A114),0)))</f>
        <v>0</v>
      </c>
      <c r="Q114" s="90" t="s">
        <v>303</v>
      </c>
    </row>
    <row r="115" spans="1:17" s="93" customFormat="1" ht="12.75">
      <c r="A115" s="73"/>
      <c r="B115" s="90" t="s">
        <v>130</v>
      </c>
      <c r="C115" s="91">
        <v>900</v>
      </c>
      <c r="D115" s="92"/>
      <c r="E115" s="90"/>
      <c r="F115" s="144">
        <f t="shared" si="15"/>
        <v>0</v>
      </c>
      <c r="P115">
        <f t="shared" si="9"/>
        <v>0</v>
      </c>
      <c r="Q115" s="90"/>
    </row>
    <row r="116" spans="1:17" s="93" customFormat="1" ht="12.75">
      <c r="A116" s="73"/>
      <c r="B116" s="90" t="s">
        <v>137</v>
      </c>
      <c r="C116" s="91">
        <v>250</v>
      </c>
      <c r="D116" s="92"/>
      <c r="E116" s="90"/>
      <c r="F116" s="144">
        <f t="shared" si="15"/>
        <v>0</v>
      </c>
      <c r="P116">
        <f t="shared" si="9"/>
        <v>0</v>
      </c>
      <c r="Q116" s="90"/>
    </row>
    <row r="117" spans="1:17" s="93" customFormat="1" ht="12.75">
      <c r="A117" s="73"/>
      <c r="B117" s="90" t="s">
        <v>138</v>
      </c>
      <c r="C117" s="91">
        <v>250</v>
      </c>
      <c r="D117" s="92"/>
      <c r="E117" s="65"/>
      <c r="F117" s="145">
        <f t="shared" si="15"/>
        <v>0</v>
      </c>
      <c r="P117">
        <f t="shared" si="9"/>
        <v>0</v>
      </c>
      <c r="Q117" s="90"/>
    </row>
    <row r="118" spans="1:19" s="93" customFormat="1" ht="12.75">
      <c r="A118" s="73"/>
      <c r="B118" s="90" t="s">
        <v>146</v>
      </c>
      <c r="C118" s="91">
        <v>1430</v>
      </c>
      <c r="D118" s="92"/>
      <c r="E118" s="105"/>
      <c r="F118" s="145">
        <f t="shared" si="15"/>
        <v>0</v>
      </c>
      <c r="P118">
        <f t="shared" si="9"/>
        <v>0</v>
      </c>
      <c r="Q118" s="90"/>
      <c r="S118" s="95"/>
    </row>
    <row r="119" spans="1:17" s="93" customFormat="1" ht="12.75">
      <c r="A119" s="73"/>
      <c r="B119" s="65" t="s">
        <v>151</v>
      </c>
      <c r="C119" s="66">
        <v>900</v>
      </c>
      <c r="D119" s="92"/>
      <c r="E119" s="90"/>
      <c r="F119" s="145">
        <f aca="true" t="shared" si="16" ref="F119:F131">IF(D119="+",C119,0)</f>
        <v>0</v>
      </c>
      <c r="P119">
        <f t="shared" si="9"/>
        <v>0</v>
      </c>
      <c r="Q119" s="90"/>
    </row>
    <row r="120" spans="1:17" s="93" customFormat="1" ht="12.75">
      <c r="A120" s="73"/>
      <c r="B120" s="65" t="s">
        <v>150</v>
      </c>
      <c r="C120" s="66">
        <v>240</v>
      </c>
      <c r="D120" s="92"/>
      <c r="E120" s="65"/>
      <c r="F120" s="145">
        <f t="shared" si="16"/>
        <v>0</v>
      </c>
      <c r="P120">
        <f t="shared" si="9"/>
        <v>0</v>
      </c>
      <c r="Q120" s="90"/>
    </row>
    <row r="121" spans="1:21" s="93" customFormat="1" ht="12.75">
      <c r="A121" s="73"/>
      <c r="B121" s="65" t="s">
        <v>154</v>
      </c>
      <c r="C121" s="71">
        <v>980</v>
      </c>
      <c r="D121" s="92"/>
      <c r="E121" s="103"/>
      <c r="F121" s="145">
        <f t="shared" si="16"/>
        <v>0</v>
      </c>
      <c r="P121">
        <f t="shared" si="9"/>
        <v>0</v>
      </c>
      <c r="Q121" s="90"/>
      <c r="U121" s="95"/>
    </row>
    <row r="122" spans="1:17" s="93" customFormat="1" ht="12.75">
      <c r="A122" s="73"/>
      <c r="B122" s="65" t="s">
        <v>155</v>
      </c>
      <c r="C122" s="71">
        <v>500</v>
      </c>
      <c r="D122" s="92"/>
      <c r="E122" s="103"/>
      <c r="F122" s="145">
        <f t="shared" si="16"/>
        <v>0</v>
      </c>
      <c r="P122">
        <f t="shared" si="9"/>
        <v>0</v>
      </c>
      <c r="Q122" s="90"/>
    </row>
    <row r="123" spans="1:17" s="93" customFormat="1" ht="12.75">
      <c r="A123" s="73"/>
      <c r="B123" s="65" t="s">
        <v>144</v>
      </c>
      <c r="C123" s="91">
        <v>120</v>
      </c>
      <c r="D123" s="92"/>
      <c r="E123" s="103"/>
      <c r="F123" s="145">
        <f t="shared" si="16"/>
        <v>0</v>
      </c>
      <c r="P123">
        <f>IF(A123="",0,CONCATENATE(TEXT(YEAR(A123),0),TEXT(MONTH(A123),0)))</f>
        <v>0</v>
      </c>
      <c r="Q123" s="90"/>
    </row>
    <row r="124" spans="1:5" ht="12.75">
      <c r="A124" s="139"/>
      <c r="B124" s="137"/>
      <c r="C124" s="136"/>
      <c r="D124" s="134"/>
      <c r="E124" s="14"/>
    </row>
    <row r="125" spans="1:5" ht="12.75">
      <c r="A125" s="138"/>
      <c r="C125" s="135"/>
      <c r="D125" s="133"/>
      <c r="E125" s="132"/>
    </row>
    <row r="126" spans="1:17" s="93" customFormat="1" ht="12.75">
      <c r="A126" s="73"/>
      <c r="B126" s="90"/>
      <c r="C126" s="91"/>
      <c r="D126" s="92"/>
      <c r="E126" s="90"/>
      <c r="F126" s="145">
        <f t="shared" si="16"/>
        <v>0</v>
      </c>
      <c r="P126">
        <f aca="true" t="shared" si="17" ref="P126:P156">IF(A126="",0,CONCATENATE(TEXT(YEAR(A126),0),TEXT(MONTH(A126),0)))</f>
        <v>0</v>
      </c>
      <c r="Q126" s="90"/>
    </row>
    <row r="127" spans="1:17" s="93" customFormat="1" ht="12.75">
      <c r="A127" s="73"/>
      <c r="B127" s="90"/>
      <c r="C127" s="91"/>
      <c r="D127" s="92"/>
      <c r="E127" s="103"/>
      <c r="F127" s="145">
        <f t="shared" si="16"/>
        <v>0</v>
      </c>
      <c r="P127">
        <f t="shared" si="17"/>
        <v>0</v>
      </c>
      <c r="Q127" s="90"/>
    </row>
    <row r="128" spans="1:17" s="93" customFormat="1" ht="12.75">
      <c r="A128" s="73"/>
      <c r="B128" s="90"/>
      <c r="C128" s="91"/>
      <c r="D128" s="92"/>
      <c r="E128" s="104"/>
      <c r="F128" s="145">
        <f t="shared" si="16"/>
        <v>0</v>
      </c>
      <c r="P128">
        <f t="shared" si="17"/>
        <v>0</v>
      </c>
      <c r="Q128" s="90"/>
    </row>
    <row r="129" spans="1:17" s="93" customFormat="1" ht="12.75">
      <c r="A129" s="73"/>
      <c r="B129" s="90"/>
      <c r="C129" s="91"/>
      <c r="D129" s="92"/>
      <c r="E129" s="104"/>
      <c r="F129" s="145">
        <f t="shared" si="16"/>
        <v>0</v>
      </c>
      <c r="P129">
        <f t="shared" si="17"/>
        <v>0</v>
      </c>
      <c r="Q129" s="90"/>
    </row>
    <row r="130" spans="1:17" ht="12.75">
      <c r="A130" s="62"/>
      <c r="B130" s="65"/>
      <c r="C130" s="66"/>
      <c r="D130" s="67"/>
      <c r="E130" s="65"/>
      <c r="F130" s="144">
        <f>IF(D130="+",C130,0)</f>
        <v>0</v>
      </c>
      <c r="P130">
        <f t="shared" si="17"/>
        <v>0</v>
      </c>
      <c r="Q130" s="68"/>
    </row>
    <row r="131" spans="1:18" s="93" customFormat="1" ht="12.75">
      <c r="A131" s="73"/>
      <c r="B131" s="90"/>
      <c r="C131" s="91"/>
      <c r="D131" s="92"/>
      <c r="E131" s="103"/>
      <c r="F131" s="145">
        <f t="shared" si="16"/>
        <v>0</v>
      </c>
      <c r="P131">
        <f t="shared" si="17"/>
        <v>0</v>
      </c>
      <c r="Q131" s="90"/>
      <c r="R131" s="96"/>
    </row>
    <row r="132" spans="1:17" s="93" customFormat="1" ht="12.75">
      <c r="A132" s="73"/>
      <c r="B132" s="90"/>
      <c r="C132" s="91"/>
      <c r="D132" s="92"/>
      <c r="E132" s="90"/>
      <c r="F132" s="145">
        <f aca="true" t="shared" si="18" ref="F132:F158">IF(D132="+",C132,0)</f>
        <v>0</v>
      </c>
      <c r="P132">
        <f t="shared" si="17"/>
        <v>0</v>
      </c>
      <c r="Q132" s="90"/>
    </row>
    <row r="133" spans="1:17" s="93" customFormat="1" ht="12.75">
      <c r="A133" s="73"/>
      <c r="B133" s="90"/>
      <c r="C133" s="91"/>
      <c r="D133" s="92"/>
      <c r="E133" s="90"/>
      <c r="F133" s="145">
        <f t="shared" si="18"/>
        <v>0</v>
      </c>
      <c r="P133">
        <f t="shared" si="17"/>
        <v>0</v>
      </c>
      <c r="Q133" s="90"/>
    </row>
    <row r="134" spans="1:17" s="93" customFormat="1" ht="12.75">
      <c r="A134" s="73"/>
      <c r="B134" s="90"/>
      <c r="C134" s="91"/>
      <c r="D134" s="92"/>
      <c r="E134" s="90"/>
      <c r="F134" s="145">
        <f t="shared" si="18"/>
        <v>0</v>
      </c>
      <c r="P134">
        <f t="shared" si="17"/>
        <v>0</v>
      </c>
      <c r="Q134" s="90"/>
    </row>
    <row r="135" spans="1:17" s="93" customFormat="1" ht="12.75">
      <c r="A135" s="73"/>
      <c r="B135" s="90"/>
      <c r="C135" s="91"/>
      <c r="D135" s="92"/>
      <c r="E135" s="90"/>
      <c r="F135" s="145">
        <f t="shared" si="18"/>
        <v>0</v>
      </c>
      <c r="P135">
        <f t="shared" si="17"/>
        <v>0</v>
      </c>
      <c r="Q135" s="90"/>
    </row>
    <row r="136" spans="1:17" ht="12.75">
      <c r="A136" s="62"/>
      <c r="B136" s="65"/>
      <c r="C136" s="66"/>
      <c r="D136" s="67"/>
      <c r="E136" s="65"/>
      <c r="F136" s="144">
        <f t="shared" si="18"/>
        <v>0</v>
      </c>
      <c r="P136">
        <f t="shared" si="17"/>
        <v>0</v>
      </c>
      <c r="Q136" s="90"/>
    </row>
    <row r="137" spans="1:17" s="93" customFormat="1" ht="12.75">
      <c r="A137" s="73"/>
      <c r="B137" s="90"/>
      <c r="C137" s="91"/>
      <c r="D137" s="92"/>
      <c r="E137" s="90"/>
      <c r="F137" s="145">
        <f t="shared" si="18"/>
        <v>0</v>
      </c>
      <c r="P137">
        <f t="shared" si="17"/>
        <v>0</v>
      </c>
      <c r="Q137" s="90"/>
    </row>
    <row r="138" spans="1:17" s="89" customFormat="1" ht="12.75">
      <c r="A138" s="62"/>
      <c r="B138" s="65"/>
      <c r="C138" s="91"/>
      <c r="D138" s="92"/>
      <c r="E138" s="90"/>
      <c r="F138" s="145">
        <f t="shared" si="18"/>
        <v>0</v>
      </c>
      <c r="G138" s="93"/>
      <c r="H138" s="93"/>
      <c r="I138" s="93"/>
      <c r="J138" s="93"/>
      <c r="K138" s="93"/>
      <c r="L138" s="93"/>
      <c r="M138" s="93"/>
      <c r="N138" s="93"/>
      <c r="O138" s="93"/>
      <c r="P138">
        <f t="shared" si="17"/>
        <v>0</v>
      </c>
      <c r="Q138" s="90"/>
    </row>
    <row r="139" spans="1:17" s="93" customFormat="1" ht="12.75">
      <c r="A139" s="73"/>
      <c r="B139" s="90"/>
      <c r="C139" s="91"/>
      <c r="D139" s="92"/>
      <c r="E139" s="90"/>
      <c r="F139" s="145">
        <f t="shared" si="18"/>
        <v>0</v>
      </c>
      <c r="P139">
        <f t="shared" si="17"/>
        <v>0</v>
      </c>
      <c r="Q139" s="90"/>
    </row>
    <row r="140" spans="1:17" s="93" customFormat="1" ht="12.75">
      <c r="A140" s="73"/>
      <c r="B140" s="90"/>
      <c r="C140" s="91"/>
      <c r="D140" s="92"/>
      <c r="E140" s="90"/>
      <c r="F140" s="145">
        <f t="shared" si="18"/>
        <v>0</v>
      </c>
      <c r="P140">
        <f t="shared" si="17"/>
        <v>0</v>
      </c>
      <c r="Q140" s="90"/>
    </row>
    <row r="141" spans="1:17" s="93" customFormat="1" ht="12.75">
      <c r="A141" s="73"/>
      <c r="B141" s="90"/>
      <c r="C141" s="91"/>
      <c r="D141" s="92"/>
      <c r="E141" s="90"/>
      <c r="F141" s="145">
        <f t="shared" si="18"/>
        <v>0</v>
      </c>
      <c r="P141">
        <f t="shared" si="17"/>
        <v>0</v>
      </c>
      <c r="Q141" s="90"/>
    </row>
    <row r="142" spans="1:17" s="93" customFormat="1" ht="12.75">
      <c r="A142" s="73"/>
      <c r="B142" s="90"/>
      <c r="C142" s="91"/>
      <c r="D142" s="92"/>
      <c r="E142" s="90"/>
      <c r="F142" s="145">
        <f t="shared" si="18"/>
        <v>0</v>
      </c>
      <c r="P142">
        <f t="shared" si="17"/>
        <v>0</v>
      </c>
      <c r="Q142" s="90"/>
    </row>
    <row r="143" spans="1:17" s="93" customFormat="1" ht="12.75">
      <c r="A143" s="73"/>
      <c r="B143" s="90"/>
      <c r="C143" s="91"/>
      <c r="D143" s="92"/>
      <c r="E143" s="90"/>
      <c r="F143" s="145">
        <f t="shared" si="18"/>
        <v>0</v>
      </c>
      <c r="P143">
        <f t="shared" si="17"/>
        <v>0</v>
      </c>
      <c r="Q143" s="90"/>
    </row>
    <row r="144" spans="1:17" s="93" customFormat="1" ht="12.75">
      <c r="A144" s="73"/>
      <c r="B144" s="90"/>
      <c r="C144" s="91"/>
      <c r="D144" s="92"/>
      <c r="E144" s="103"/>
      <c r="F144" s="145">
        <f t="shared" si="18"/>
        <v>0</v>
      </c>
      <c r="P144">
        <f t="shared" si="17"/>
        <v>0</v>
      </c>
      <c r="Q144" s="90"/>
    </row>
    <row r="145" spans="1:17" s="93" customFormat="1" ht="12.75">
      <c r="A145" s="73"/>
      <c r="B145" s="90"/>
      <c r="C145" s="91"/>
      <c r="D145" s="92"/>
      <c r="E145" s="90"/>
      <c r="F145" s="145">
        <f t="shared" si="18"/>
        <v>0</v>
      </c>
      <c r="P145">
        <f t="shared" si="17"/>
        <v>0</v>
      </c>
      <c r="Q145" s="90"/>
    </row>
    <row r="146" spans="1:17" s="93" customFormat="1" ht="12.75">
      <c r="A146" s="73"/>
      <c r="B146" s="90"/>
      <c r="C146" s="91"/>
      <c r="D146" s="92"/>
      <c r="E146" s="90"/>
      <c r="F146" s="145">
        <f t="shared" si="18"/>
        <v>0</v>
      </c>
      <c r="P146">
        <f t="shared" si="17"/>
        <v>0</v>
      </c>
      <c r="Q146" s="90"/>
    </row>
    <row r="147" spans="1:17" s="93" customFormat="1" ht="12.75">
      <c r="A147" s="73"/>
      <c r="B147" s="90"/>
      <c r="C147" s="91"/>
      <c r="D147" s="92"/>
      <c r="E147" s="103"/>
      <c r="F147" s="145">
        <f t="shared" si="18"/>
        <v>0</v>
      </c>
      <c r="P147">
        <f t="shared" si="17"/>
        <v>0</v>
      </c>
      <c r="Q147" s="90"/>
    </row>
    <row r="148" spans="1:17" s="93" customFormat="1" ht="12.75">
      <c r="A148" s="73"/>
      <c r="B148" s="90"/>
      <c r="C148" s="91"/>
      <c r="D148" s="92"/>
      <c r="E148" s="129"/>
      <c r="F148" s="145">
        <f t="shared" si="18"/>
        <v>0</v>
      </c>
      <c r="P148">
        <f t="shared" si="17"/>
        <v>0</v>
      </c>
      <c r="Q148" s="90"/>
    </row>
    <row r="149" spans="1:17" s="93" customFormat="1" ht="12.75">
      <c r="A149" s="73"/>
      <c r="B149" s="90"/>
      <c r="C149" s="91"/>
      <c r="D149" s="92"/>
      <c r="E149" s="129"/>
      <c r="F149" s="145">
        <f t="shared" si="18"/>
        <v>0</v>
      </c>
      <c r="P149">
        <f t="shared" si="17"/>
        <v>0</v>
      </c>
      <c r="Q149" s="90"/>
    </row>
    <row r="150" spans="1:17" s="93" customFormat="1" ht="12.75">
      <c r="A150" s="73"/>
      <c r="B150" s="90"/>
      <c r="C150" s="91"/>
      <c r="D150" s="92"/>
      <c r="E150" s="103"/>
      <c r="F150" s="145">
        <f t="shared" si="18"/>
        <v>0</v>
      </c>
      <c r="P150">
        <f t="shared" si="17"/>
        <v>0</v>
      </c>
      <c r="Q150" s="90"/>
    </row>
    <row r="151" spans="1:17" s="93" customFormat="1" ht="12.75">
      <c r="A151" s="73"/>
      <c r="B151" s="90"/>
      <c r="C151" s="91"/>
      <c r="D151" s="92"/>
      <c r="E151" s="103"/>
      <c r="F151" s="145">
        <f t="shared" si="18"/>
        <v>0</v>
      </c>
      <c r="P151">
        <f t="shared" si="17"/>
        <v>0</v>
      </c>
      <c r="Q151" s="90"/>
    </row>
    <row r="152" spans="1:17" s="93" customFormat="1" ht="12.75">
      <c r="A152" s="73"/>
      <c r="B152" s="90"/>
      <c r="C152" s="91"/>
      <c r="D152" s="92"/>
      <c r="E152" s="103"/>
      <c r="F152" s="145">
        <f t="shared" si="18"/>
        <v>0</v>
      </c>
      <c r="P152">
        <f t="shared" si="17"/>
        <v>0</v>
      </c>
      <c r="Q152" s="90"/>
    </row>
    <row r="153" spans="1:18" s="93" customFormat="1" ht="12.75">
      <c r="A153" s="73"/>
      <c r="B153" s="90"/>
      <c r="C153" s="91"/>
      <c r="D153" s="92"/>
      <c r="E153" s="105"/>
      <c r="F153" s="145">
        <f t="shared" si="18"/>
        <v>0</v>
      </c>
      <c r="P153">
        <f t="shared" si="17"/>
        <v>0</v>
      </c>
      <c r="Q153" s="90"/>
      <c r="R153" s="96"/>
    </row>
    <row r="154" spans="1:18" s="93" customFormat="1" ht="12.75">
      <c r="A154" s="73"/>
      <c r="B154" s="90"/>
      <c r="C154" s="91"/>
      <c r="D154" s="92"/>
      <c r="E154" s="105"/>
      <c r="F154" s="145">
        <f t="shared" si="18"/>
        <v>0</v>
      </c>
      <c r="P154">
        <f t="shared" si="17"/>
        <v>0</v>
      </c>
      <c r="Q154" s="90"/>
      <c r="R154" s="96"/>
    </row>
    <row r="155" spans="1:18" s="93" customFormat="1" ht="12.75">
      <c r="A155" s="73"/>
      <c r="B155" s="90"/>
      <c r="C155" s="91"/>
      <c r="D155" s="92"/>
      <c r="E155" s="105"/>
      <c r="F155" s="145">
        <f t="shared" si="18"/>
        <v>0</v>
      </c>
      <c r="P155">
        <f t="shared" si="17"/>
        <v>0</v>
      </c>
      <c r="Q155" s="90"/>
      <c r="R155" s="96"/>
    </row>
    <row r="156" spans="1:18" s="93" customFormat="1" ht="12.75">
      <c r="A156" s="73"/>
      <c r="B156" s="90"/>
      <c r="C156" s="91"/>
      <c r="D156" s="92"/>
      <c r="E156" s="104"/>
      <c r="F156" s="145">
        <f t="shared" si="18"/>
        <v>0</v>
      </c>
      <c r="P156">
        <f t="shared" si="17"/>
        <v>0</v>
      </c>
      <c r="Q156" s="90"/>
      <c r="R156" s="96"/>
    </row>
    <row r="157" spans="1:17" s="93" customFormat="1" ht="12.75">
      <c r="A157" s="73"/>
      <c r="B157" s="90"/>
      <c r="C157" s="91"/>
      <c r="D157" s="92"/>
      <c r="E157" s="90"/>
      <c r="F157" s="145">
        <f t="shared" si="18"/>
        <v>0</v>
      </c>
      <c r="P157">
        <f aca="true" t="shared" si="19" ref="P157:P218">IF(A157="",0,CONCATENATE(TEXT(YEAR(A157),0),TEXT(MONTH(A157),0)))</f>
        <v>0</v>
      </c>
      <c r="Q157" s="90"/>
    </row>
    <row r="158" spans="1:17" s="93" customFormat="1" ht="12.75">
      <c r="A158" s="73"/>
      <c r="B158" s="90"/>
      <c r="C158" s="91"/>
      <c r="D158" s="92"/>
      <c r="E158" s="103"/>
      <c r="F158" s="145">
        <f t="shared" si="18"/>
        <v>0</v>
      </c>
      <c r="P158">
        <f t="shared" si="19"/>
        <v>0</v>
      </c>
      <c r="Q158" s="90"/>
    </row>
    <row r="159" spans="1:17" ht="12.75">
      <c r="A159" s="73"/>
      <c r="B159" s="90"/>
      <c r="C159" s="91"/>
      <c r="D159" s="92"/>
      <c r="E159" s="103"/>
      <c r="F159" s="145">
        <f aca="true" t="shared" si="20" ref="F159:F199">IF(D159="+",C159,0)</f>
        <v>0</v>
      </c>
      <c r="G159" s="93"/>
      <c r="H159" s="93"/>
      <c r="I159" s="93"/>
      <c r="J159" s="93"/>
      <c r="K159" s="93"/>
      <c r="L159" s="93"/>
      <c r="M159" s="93"/>
      <c r="N159" s="93"/>
      <c r="O159" s="93"/>
      <c r="P159">
        <f t="shared" si="19"/>
        <v>0</v>
      </c>
      <c r="Q159" s="90"/>
    </row>
    <row r="160" spans="1:17" ht="12.75">
      <c r="A160" s="73"/>
      <c r="B160" s="90"/>
      <c r="C160" s="66"/>
      <c r="D160" s="67"/>
      <c r="E160" s="65"/>
      <c r="F160" s="144">
        <f t="shared" si="20"/>
        <v>0</v>
      </c>
      <c r="P160">
        <f t="shared" si="19"/>
        <v>0</v>
      </c>
      <c r="Q160" s="90"/>
    </row>
    <row r="161" spans="1:19" ht="12.75">
      <c r="A161" s="62"/>
      <c r="B161" s="65"/>
      <c r="C161" s="66"/>
      <c r="D161" s="67"/>
      <c r="E161" s="65"/>
      <c r="F161" s="144">
        <f t="shared" si="20"/>
        <v>0</v>
      </c>
      <c r="P161">
        <f t="shared" si="19"/>
        <v>0</v>
      </c>
      <c r="Q161" s="68"/>
      <c r="R161" s="107"/>
      <c r="S161" s="23"/>
    </row>
    <row r="162" spans="2:17" ht="12.75">
      <c r="B162" s="65"/>
      <c r="C162" s="66"/>
      <c r="D162" s="67"/>
      <c r="E162" s="65"/>
      <c r="F162" s="144">
        <f>IF(D162="+",C162,0)</f>
        <v>0</v>
      </c>
      <c r="P162">
        <f>IF(A162="",0,CONCATENATE(TEXT(YEAR(A162),0),TEXT(MONTH(A162),0)))</f>
        <v>0</v>
      </c>
      <c r="Q162" s="68"/>
    </row>
    <row r="163" spans="1:17" ht="12.75">
      <c r="A163" s="62"/>
      <c r="B163" s="65"/>
      <c r="C163" s="66"/>
      <c r="D163" s="67"/>
      <c r="E163" s="109"/>
      <c r="F163" s="144">
        <f t="shared" si="20"/>
        <v>0</v>
      </c>
      <c r="P163">
        <f t="shared" si="19"/>
        <v>0</v>
      </c>
      <c r="Q163" s="90"/>
    </row>
    <row r="164" spans="1:17" ht="12.75">
      <c r="A164" s="62"/>
      <c r="B164" s="65"/>
      <c r="C164" s="66"/>
      <c r="D164" s="67"/>
      <c r="F164" s="144">
        <f t="shared" si="20"/>
        <v>0</v>
      </c>
      <c r="P164">
        <f t="shared" si="19"/>
        <v>0</v>
      </c>
      <c r="Q164" s="68"/>
    </row>
    <row r="165" spans="1:17" ht="12.75">
      <c r="A165" s="62"/>
      <c r="B165" s="65"/>
      <c r="C165" s="71"/>
      <c r="D165" s="72"/>
      <c r="E165" s="106"/>
      <c r="F165" s="144">
        <f t="shared" si="20"/>
        <v>0</v>
      </c>
      <c r="P165">
        <f t="shared" si="19"/>
        <v>0</v>
      </c>
      <c r="Q165" s="68"/>
    </row>
    <row r="166" spans="1:17" ht="12.75">
      <c r="A166" s="62"/>
      <c r="B166" s="65"/>
      <c r="C166" s="71"/>
      <c r="D166" s="72"/>
      <c r="E166" s="102"/>
      <c r="F166" s="144">
        <f t="shared" si="20"/>
        <v>0</v>
      </c>
      <c r="P166">
        <f t="shared" si="19"/>
        <v>0</v>
      </c>
      <c r="Q166" s="90"/>
    </row>
    <row r="167" spans="1:17" ht="12.75">
      <c r="A167" s="62"/>
      <c r="B167" s="90"/>
      <c r="C167" s="91"/>
      <c r="D167" s="92"/>
      <c r="E167" s="103"/>
      <c r="F167" s="144">
        <f t="shared" si="20"/>
        <v>0</v>
      </c>
      <c r="P167">
        <f t="shared" si="19"/>
        <v>0</v>
      </c>
      <c r="Q167" s="90"/>
    </row>
    <row r="168" spans="1:17" ht="12.75">
      <c r="A168" s="62"/>
      <c r="B168" s="65"/>
      <c r="C168" s="66"/>
      <c r="D168" s="67"/>
      <c r="E168" s="65"/>
      <c r="F168" s="144">
        <f t="shared" si="20"/>
        <v>0</v>
      </c>
      <c r="P168">
        <f t="shared" si="19"/>
        <v>0</v>
      </c>
      <c r="Q168" s="90"/>
    </row>
    <row r="169" spans="1:17" ht="12.75">
      <c r="A169" s="62"/>
      <c r="B169" s="65"/>
      <c r="C169" s="66"/>
      <c r="D169" s="67"/>
      <c r="E169" s="106"/>
      <c r="F169" s="144">
        <f t="shared" si="20"/>
        <v>0</v>
      </c>
      <c r="P169">
        <f t="shared" si="19"/>
        <v>0</v>
      </c>
      <c r="Q169" s="90"/>
    </row>
    <row r="170" spans="1:17" ht="12.75">
      <c r="A170" s="62"/>
      <c r="B170" s="90"/>
      <c r="C170" s="91"/>
      <c r="D170" s="92"/>
      <c r="E170" s="103"/>
      <c r="F170" s="144">
        <f t="shared" si="20"/>
        <v>0</v>
      </c>
      <c r="P170">
        <f t="shared" si="19"/>
        <v>0</v>
      </c>
      <c r="Q170" s="68"/>
    </row>
    <row r="171" spans="1:17" ht="12.75">
      <c r="A171" s="62"/>
      <c r="B171" s="65"/>
      <c r="C171" s="66"/>
      <c r="D171" s="67"/>
      <c r="E171" s="65"/>
      <c r="F171" s="144">
        <f t="shared" si="20"/>
        <v>0</v>
      </c>
      <c r="P171">
        <f t="shared" si="19"/>
        <v>0</v>
      </c>
      <c r="Q171" s="68"/>
    </row>
    <row r="172" spans="1:17" ht="12.75">
      <c r="A172" s="62"/>
      <c r="B172" s="65"/>
      <c r="C172" s="66"/>
      <c r="D172" s="67"/>
      <c r="E172" s="65"/>
      <c r="F172" s="144">
        <f t="shared" si="20"/>
        <v>0</v>
      </c>
      <c r="P172">
        <f t="shared" si="19"/>
        <v>0</v>
      </c>
      <c r="Q172" s="68"/>
    </row>
    <row r="173" spans="1:17" ht="12.75">
      <c r="A173" s="62"/>
      <c r="B173" s="90"/>
      <c r="C173" s="91"/>
      <c r="D173" s="92"/>
      <c r="E173" s="90"/>
      <c r="F173" s="144">
        <f t="shared" si="20"/>
        <v>0</v>
      </c>
      <c r="P173">
        <f t="shared" si="19"/>
        <v>0</v>
      </c>
      <c r="Q173" s="90"/>
    </row>
    <row r="174" spans="1:17" ht="12.75">
      <c r="A174" s="62"/>
      <c r="B174" s="65"/>
      <c r="C174" s="66"/>
      <c r="D174" s="67"/>
      <c r="E174" s="65"/>
      <c r="F174" s="144">
        <f t="shared" si="20"/>
        <v>0</v>
      </c>
      <c r="P174">
        <f t="shared" si="19"/>
        <v>0</v>
      </c>
      <c r="Q174" s="90"/>
    </row>
    <row r="175" spans="1:17" ht="12.75">
      <c r="A175" s="62"/>
      <c r="B175" s="90"/>
      <c r="C175" s="91"/>
      <c r="D175" s="92"/>
      <c r="E175" s="103"/>
      <c r="F175" s="144">
        <f t="shared" si="20"/>
        <v>0</v>
      </c>
      <c r="P175">
        <f t="shared" si="19"/>
        <v>0</v>
      </c>
      <c r="Q175" s="90"/>
    </row>
    <row r="176" spans="1:17" ht="12.75">
      <c r="A176" s="62"/>
      <c r="B176" s="65"/>
      <c r="C176" s="66"/>
      <c r="D176" s="67"/>
      <c r="E176" s="65"/>
      <c r="F176" s="144">
        <f t="shared" si="20"/>
        <v>0</v>
      </c>
      <c r="P176">
        <f t="shared" si="19"/>
        <v>0</v>
      </c>
      <c r="Q176" s="90"/>
    </row>
    <row r="177" spans="1:17" ht="12.75">
      <c r="A177" s="70"/>
      <c r="B177" s="90"/>
      <c r="C177" s="91"/>
      <c r="D177" s="92"/>
      <c r="E177" s="90"/>
      <c r="F177" s="144">
        <f t="shared" si="20"/>
        <v>0</v>
      </c>
      <c r="P177">
        <f t="shared" si="19"/>
        <v>0</v>
      </c>
      <c r="Q177" s="68"/>
    </row>
    <row r="178" spans="1:17" ht="12.75">
      <c r="A178" s="70"/>
      <c r="B178" s="68"/>
      <c r="C178" s="71"/>
      <c r="D178" s="72"/>
      <c r="E178" s="68"/>
      <c r="F178" s="144">
        <f t="shared" si="20"/>
        <v>0</v>
      </c>
      <c r="P178">
        <f t="shared" si="19"/>
        <v>0</v>
      </c>
      <c r="Q178" s="68"/>
    </row>
    <row r="179" spans="1:17" ht="12.75">
      <c r="A179" s="70"/>
      <c r="B179" s="65"/>
      <c r="C179" s="71"/>
      <c r="D179" s="72"/>
      <c r="E179" s="106"/>
      <c r="F179" s="144">
        <f t="shared" si="20"/>
        <v>0</v>
      </c>
      <c r="P179">
        <f t="shared" si="19"/>
        <v>0</v>
      </c>
      <c r="Q179" s="90"/>
    </row>
    <row r="180" spans="1:17" ht="12.75">
      <c r="A180" s="70"/>
      <c r="B180" s="65"/>
      <c r="C180" s="71"/>
      <c r="D180" s="72"/>
      <c r="E180" s="102"/>
      <c r="F180" s="144">
        <f t="shared" si="20"/>
        <v>0</v>
      </c>
      <c r="P180">
        <f t="shared" si="19"/>
        <v>0</v>
      </c>
      <c r="Q180" s="90"/>
    </row>
    <row r="181" spans="1:17" ht="12.75">
      <c r="A181" s="70"/>
      <c r="B181" s="68"/>
      <c r="C181" s="71"/>
      <c r="D181" s="72"/>
      <c r="E181" s="68"/>
      <c r="F181" s="144">
        <f t="shared" si="20"/>
        <v>0</v>
      </c>
      <c r="P181">
        <f t="shared" si="19"/>
        <v>0</v>
      </c>
      <c r="Q181" s="68"/>
    </row>
    <row r="182" spans="1:17" ht="12.75">
      <c r="A182" s="70"/>
      <c r="B182" s="90"/>
      <c r="C182" s="91"/>
      <c r="D182" s="92"/>
      <c r="E182" s="103"/>
      <c r="F182" s="144">
        <f t="shared" si="20"/>
        <v>0</v>
      </c>
      <c r="P182">
        <f t="shared" si="19"/>
        <v>0</v>
      </c>
      <c r="Q182" s="90"/>
    </row>
    <row r="183" spans="1:17" ht="12.75">
      <c r="A183" s="70"/>
      <c r="B183" s="90"/>
      <c r="C183" s="91"/>
      <c r="D183" s="92"/>
      <c r="E183" s="103"/>
      <c r="F183" s="144">
        <f t="shared" si="20"/>
        <v>0</v>
      </c>
      <c r="P183">
        <f t="shared" si="19"/>
        <v>0</v>
      </c>
      <c r="Q183" s="90"/>
    </row>
    <row r="184" spans="1:17" ht="12.75">
      <c r="A184" s="70"/>
      <c r="B184" s="68"/>
      <c r="C184" s="71"/>
      <c r="D184" s="72"/>
      <c r="E184" s="110"/>
      <c r="F184" s="144">
        <f t="shared" si="20"/>
        <v>0</v>
      </c>
      <c r="P184">
        <f t="shared" si="19"/>
        <v>0</v>
      </c>
      <c r="Q184" s="90"/>
    </row>
    <row r="185" spans="1:17" ht="12.75">
      <c r="A185" s="70"/>
      <c r="B185" s="68"/>
      <c r="C185" s="71"/>
      <c r="D185" s="72"/>
      <c r="E185" s="90"/>
      <c r="F185" s="144">
        <f t="shared" si="20"/>
        <v>0</v>
      </c>
      <c r="P185">
        <f t="shared" si="19"/>
        <v>0</v>
      </c>
      <c r="Q185" s="90"/>
    </row>
    <row r="186" spans="1:17" ht="12.75">
      <c r="A186" s="70"/>
      <c r="B186" s="68"/>
      <c r="C186" s="71"/>
      <c r="D186" s="72"/>
      <c r="E186" s="111"/>
      <c r="F186" s="144">
        <f t="shared" si="20"/>
        <v>0</v>
      </c>
      <c r="P186">
        <f t="shared" si="19"/>
        <v>0</v>
      </c>
      <c r="Q186" s="90"/>
    </row>
    <row r="187" spans="1:17" ht="12.75">
      <c r="A187" s="70"/>
      <c r="B187" s="68"/>
      <c r="C187" s="71"/>
      <c r="D187" s="72"/>
      <c r="E187" s="110"/>
      <c r="F187" s="144">
        <f t="shared" si="20"/>
        <v>0</v>
      </c>
      <c r="P187">
        <f t="shared" si="19"/>
        <v>0</v>
      </c>
      <c r="Q187" s="90"/>
    </row>
    <row r="188" spans="1:17" ht="12.75">
      <c r="A188" s="70"/>
      <c r="B188" s="90"/>
      <c r="C188" s="71"/>
      <c r="D188" s="72"/>
      <c r="E188" s="14"/>
      <c r="F188" s="144">
        <f t="shared" si="20"/>
        <v>0</v>
      </c>
      <c r="P188">
        <f t="shared" si="19"/>
        <v>0</v>
      </c>
      <c r="Q188" s="90"/>
    </row>
    <row r="189" spans="1:17" ht="12.75">
      <c r="A189" s="70"/>
      <c r="B189" s="90"/>
      <c r="C189" s="71"/>
      <c r="D189" s="72"/>
      <c r="E189" s="14"/>
      <c r="F189" s="144">
        <f t="shared" si="20"/>
        <v>0</v>
      </c>
      <c r="P189">
        <f t="shared" si="19"/>
        <v>0</v>
      </c>
      <c r="Q189" s="90"/>
    </row>
    <row r="190" spans="1:17" ht="12.75">
      <c r="A190" s="70"/>
      <c r="B190" s="90"/>
      <c r="C190" s="71"/>
      <c r="D190" s="72"/>
      <c r="E190" s="104"/>
      <c r="F190" s="144">
        <f t="shared" si="20"/>
        <v>0</v>
      </c>
      <c r="P190">
        <f t="shared" si="19"/>
        <v>0</v>
      </c>
      <c r="Q190" s="90"/>
    </row>
    <row r="191" spans="1:17" ht="12.75">
      <c r="A191" s="70"/>
      <c r="B191" s="90"/>
      <c r="C191" s="91"/>
      <c r="D191" s="92"/>
      <c r="E191" s="90"/>
      <c r="F191" s="144">
        <f t="shared" si="20"/>
        <v>0</v>
      </c>
      <c r="P191">
        <f t="shared" si="19"/>
        <v>0</v>
      </c>
      <c r="Q191" s="68"/>
    </row>
    <row r="192" spans="1:17" ht="12.75">
      <c r="A192" s="70"/>
      <c r="B192" s="112"/>
      <c r="C192" s="113"/>
      <c r="D192" s="114"/>
      <c r="E192" s="115"/>
      <c r="F192" s="144">
        <f t="shared" si="20"/>
        <v>0</v>
      </c>
      <c r="P192">
        <f t="shared" si="19"/>
        <v>0</v>
      </c>
      <c r="Q192" s="68"/>
    </row>
    <row r="193" spans="1:17" ht="12.75">
      <c r="A193" s="70"/>
      <c r="B193" s="112"/>
      <c r="C193" s="113"/>
      <c r="D193" s="114"/>
      <c r="E193" s="115"/>
      <c r="F193" s="144">
        <f t="shared" si="20"/>
        <v>0</v>
      </c>
      <c r="P193">
        <f t="shared" si="19"/>
        <v>0</v>
      </c>
      <c r="Q193" s="68"/>
    </row>
    <row r="194" spans="1:17" ht="12.75">
      <c r="A194" s="70"/>
      <c r="B194" s="112"/>
      <c r="C194" s="113"/>
      <c r="D194" s="114"/>
      <c r="E194" s="115"/>
      <c r="F194" s="144">
        <f t="shared" si="20"/>
        <v>0</v>
      </c>
      <c r="P194">
        <f t="shared" si="19"/>
        <v>0</v>
      </c>
      <c r="Q194" s="68"/>
    </row>
    <row r="195" spans="1:17" ht="12.75">
      <c r="A195" s="70"/>
      <c r="B195" s="112"/>
      <c r="C195" s="113"/>
      <c r="D195" s="114"/>
      <c r="E195" s="115"/>
      <c r="F195" s="144">
        <f t="shared" si="20"/>
        <v>0</v>
      </c>
      <c r="P195">
        <f t="shared" si="19"/>
        <v>0</v>
      </c>
      <c r="Q195" s="68"/>
    </row>
    <row r="196" spans="1:17" ht="12.75">
      <c r="A196" s="70"/>
      <c r="B196" s="112"/>
      <c r="C196" s="113"/>
      <c r="D196" s="114"/>
      <c r="E196" s="115"/>
      <c r="F196" s="144">
        <f t="shared" si="20"/>
        <v>0</v>
      </c>
      <c r="P196">
        <f t="shared" si="19"/>
        <v>0</v>
      </c>
      <c r="Q196" s="68"/>
    </row>
    <row r="197" spans="1:17" ht="12.75">
      <c r="A197" s="70"/>
      <c r="B197" s="112"/>
      <c r="C197" s="113"/>
      <c r="D197" s="114"/>
      <c r="E197" s="115"/>
      <c r="F197" s="144">
        <f t="shared" si="20"/>
        <v>0</v>
      </c>
      <c r="P197">
        <f t="shared" si="19"/>
        <v>0</v>
      </c>
      <c r="Q197" s="90"/>
    </row>
    <row r="198" spans="1:18" ht="12.75">
      <c r="A198" s="70"/>
      <c r="B198" s="112"/>
      <c r="C198" s="113"/>
      <c r="D198" s="114"/>
      <c r="E198" s="115"/>
      <c r="F198" s="144">
        <f t="shared" si="20"/>
        <v>0</v>
      </c>
      <c r="P198">
        <f t="shared" si="19"/>
        <v>0</v>
      </c>
      <c r="Q198" s="68"/>
      <c r="R198" s="102"/>
    </row>
    <row r="199" spans="1:17" ht="12.75">
      <c r="A199" s="70"/>
      <c r="B199" s="68"/>
      <c r="C199" s="71"/>
      <c r="D199" s="72"/>
      <c r="E199" s="110"/>
      <c r="F199" s="144">
        <f t="shared" si="20"/>
        <v>0</v>
      </c>
      <c r="P199">
        <f t="shared" si="19"/>
        <v>0</v>
      </c>
      <c r="Q199" s="90"/>
    </row>
    <row r="200" spans="1:17" ht="12.75">
      <c r="A200" s="70"/>
      <c r="B200" s="90"/>
      <c r="C200" s="91"/>
      <c r="D200" s="92"/>
      <c r="E200" s="103"/>
      <c r="F200" s="144">
        <f aca="true" t="shared" si="21" ref="F200:F206">IF(D200="+",C200,0)</f>
        <v>0</v>
      </c>
      <c r="P200">
        <f t="shared" si="19"/>
        <v>0</v>
      </c>
      <c r="Q200" s="68"/>
    </row>
    <row r="201" spans="1:17" ht="12.75">
      <c r="A201" s="70"/>
      <c r="B201" s="112"/>
      <c r="C201" s="113"/>
      <c r="D201" s="114"/>
      <c r="E201" s="116"/>
      <c r="F201" s="144">
        <f t="shared" si="21"/>
        <v>0</v>
      </c>
      <c r="P201">
        <f t="shared" si="19"/>
        <v>0</v>
      </c>
      <c r="Q201" s="68"/>
    </row>
    <row r="202" spans="1:17" ht="12.75">
      <c r="A202" s="70"/>
      <c r="B202" s="112"/>
      <c r="C202" s="113"/>
      <c r="D202" s="114"/>
      <c r="E202" s="116"/>
      <c r="F202" s="144">
        <f t="shared" si="21"/>
        <v>0</v>
      </c>
      <c r="P202">
        <f t="shared" si="19"/>
        <v>0</v>
      </c>
      <c r="Q202" s="68"/>
    </row>
    <row r="203" spans="1:17" ht="12.75">
      <c r="A203" s="70"/>
      <c r="B203" s="112"/>
      <c r="C203" s="113"/>
      <c r="D203" s="114"/>
      <c r="E203" s="116"/>
      <c r="F203" s="144">
        <f t="shared" si="21"/>
        <v>0</v>
      </c>
      <c r="P203">
        <f t="shared" si="19"/>
        <v>0</v>
      </c>
      <c r="Q203" s="68"/>
    </row>
    <row r="204" spans="1:17" ht="12.75">
      <c r="A204" s="70"/>
      <c r="B204" s="112"/>
      <c r="C204" s="113"/>
      <c r="D204" s="114"/>
      <c r="E204" s="103"/>
      <c r="F204" s="144">
        <f t="shared" si="21"/>
        <v>0</v>
      </c>
      <c r="P204">
        <f t="shared" si="19"/>
        <v>0</v>
      </c>
      <c r="Q204" s="68"/>
    </row>
    <row r="205" spans="1:17" ht="12.75">
      <c r="A205" s="70"/>
      <c r="B205" s="112"/>
      <c r="C205" s="113"/>
      <c r="D205" s="114"/>
      <c r="E205" s="115"/>
      <c r="F205" s="144">
        <f t="shared" si="21"/>
        <v>0</v>
      </c>
      <c r="P205">
        <f t="shared" si="19"/>
        <v>0</v>
      </c>
      <c r="Q205" s="68"/>
    </row>
    <row r="206" spans="1:17" ht="12.75">
      <c r="A206" s="70"/>
      <c r="B206" s="68"/>
      <c r="C206" s="113"/>
      <c r="D206" s="114"/>
      <c r="E206" s="68"/>
      <c r="F206" s="144">
        <f t="shared" si="21"/>
        <v>0</v>
      </c>
      <c r="P206">
        <f t="shared" si="19"/>
        <v>0</v>
      </c>
      <c r="Q206" s="68"/>
    </row>
    <row r="207" spans="1:17" ht="12.75">
      <c r="A207" s="70"/>
      <c r="B207" s="112"/>
      <c r="C207" s="113"/>
      <c r="D207" s="114"/>
      <c r="E207" s="103"/>
      <c r="F207" s="144">
        <f aca="true" t="shared" si="22" ref="F207:F213">IF(D207="+",C207,0)</f>
        <v>0</v>
      </c>
      <c r="P207">
        <f t="shared" si="19"/>
        <v>0</v>
      </c>
      <c r="Q207" s="68"/>
    </row>
    <row r="208" spans="1:17" ht="12.75">
      <c r="A208" s="70"/>
      <c r="B208" s="90"/>
      <c r="C208" s="91"/>
      <c r="D208" s="92"/>
      <c r="E208" s="90"/>
      <c r="F208" s="144">
        <f t="shared" si="22"/>
        <v>0</v>
      </c>
      <c r="P208">
        <f t="shared" si="19"/>
        <v>0</v>
      </c>
      <c r="Q208" s="68"/>
    </row>
    <row r="209" spans="1:17" ht="12.75">
      <c r="A209" s="70"/>
      <c r="B209" s="112"/>
      <c r="C209" s="113"/>
      <c r="D209" s="114"/>
      <c r="E209" s="116"/>
      <c r="F209" s="144">
        <f t="shared" si="22"/>
        <v>0</v>
      </c>
      <c r="P209">
        <f t="shared" si="19"/>
        <v>0</v>
      </c>
      <c r="Q209" s="90"/>
    </row>
    <row r="210" spans="1:17" ht="12.75">
      <c r="A210" s="70"/>
      <c r="B210" s="112"/>
      <c r="C210" s="113"/>
      <c r="D210" s="114"/>
      <c r="E210" s="116"/>
      <c r="F210" s="144">
        <f t="shared" si="22"/>
        <v>0</v>
      </c>
      <c r="P210">
        <f t="shared" si="19"/>
        <v>0</v>
      </c>
      <c r="Q210" s="90"/>
    </row>
    <row r="211" spans="1:17" ht="12.75">
      <c r="A211" s="70"/>
      <c r="B211" s="112"/>
      <c r="C211" s="113"/>
      <c r="D211" s="114"/>
      <c r="E211" s="103"/>
      <c r="F211" s="144">
        <f t="shared" si="22"/>
        <v>0</v>
      </c>
      <c r="P211">
        <f t="shared" si="19"/>
        <v>0</v>
      </c>
      <c r="Q211" s="68"/>
    </row>
    <row r="212" spans="1:17" ht="12.75">
      <c r="A212" s="70"/>
      <c r="B212" s="112"/>
      <c r="C212" s="113"/>
      <c r="D212" s="114"/>
      <c r="E212" s="68"/>
      <c r="F212" s="144">
        <f t="shared" si="22"/>
        <v>0</v>
      </c>
      <c r="P212">
        <f t="shared" si="19"/>
        <v>0</v>
      </c>
      <c r="Q212" s="68"/>
    </row>
    <row r="213" spans="1:17" ht="12.75">
      <c r="A213" s="70"/>
      <c r="B213" s="112"/>
      <c r="C213" s="113"/>
      <c r="D213" s="114"/>
      <c r="E213" s="116"/>
      <c r="F213" s="144">
        <f t="shared" si="22"/>
        <v>0</v>
      </c>
      <c r="P213">
        <f t="shared" si="19"/>
        <v>0</v>
      </c>
      <c r="Q213" s="90"/>
    </row>
    <row r="214" spans="1:17" ht="12.75">
      <c r="A214" s="70"/>
      <c r="B214" s="112"/>
      <c r="C214" s="113"/>
      <c r="D214" s="114"/>
      <c r="E214" s="116"/>
      <c r="F214" s="144">
        <f aca="true" t="shared" si="23" ref="F214:F232">IF(D214="+",C214,0)</f>
        <v>0</v>
      </c>
      <c r="P214">
        <f t="shared" si="19"/>
        <v>0</v>
      </c>
      <c r="Q214" s="112"/>
    </row>
    <row r="215" spans="1:17" ht="12.75">
      <c r="A215" s="70"/>
      <c r="B215" s="112"/>
      <c r="C215" s="113"/>
      <c r="D215" s="114"/>
      <c r="E215" s="118"/>
      <c r="F215" s="144">
        <f t="shared" si="23"/>
        <v>0</v>
      </c>
      <c r="P215">
        <f t="shared" si="19"/>
        <v>0</v>
      </c>
      <c r="Q215" s="90"/>
    </row>
    <row r="216" spans="1:17" ht="12.75">
      <c r="A216" s="70"/>
      <c r="B216" s="112"/>
      <c r="C216" s="113"/>
      <c r="D216" s="114"/>
      <c r="E216" s="116"/>
      <c r="F216" s="144">
        <f t="shared" si="23"/>
        <v>0</v>
      </c>
      <c r="P216">
        <f t="shared" si="19"/>
        <v>0</v>
      </c>
      <c r="Q216" s="112"/>
    </row>
    <row r="217" spans="1:17" ht="12.75">
      <c r="A217" s="70"/>
      <c r="B217" s="112"/>
      <c r="C217" s="113"/>
      <c r="D217" s="114"/>
      <c r="E217" s="119"/>
      <c r="F217" s="144">
        <f t="shared" si="23"/>
        <v>0</v>
      </c>
      <c r="P217">
        <f t="shared" si="19"/>
        <v>0</v>
      </c>
      <c r="Q217" s="112"/>
    </row>
    <row r="218" spans="1:17" ht="12.75">
      <c r="A218" s="70"/>
      <c r="B218" s="112"/>
      <c r="C218" s="113"/>
      <c r="D218" s="114"/>
      <c r="E218" s="116"/>
      <c r="F218" s="144">
        <f t="shared" si="23"/>
        <v>0</v>
      </c>
      <c r="P218">
        <f t="shared" si="19"/>
        <v>0</v>
      </c>
      <c r="Q218" s="112"/>
    </row>
    <row r="219" spans="1:17" ht="12.75">
      <c r="A219" s="70"/>
      <c r="B219" s="90"/>
      <c r="C219" s="91"/>
      <c r="D219" s="92"/>
      <c r="E219" s="103"/>
      <c r="F219" s="144">
        <f t="shared" si="23"/>
        <v>0</v>
      </c>
      <c r="P219">
        <f aca="true" t="shared" si="24" ref="P219:P239">IF(A219="",0,CONCATENATE(TEXT(YEAR(A219),0),TEXT(MONTH(A219),0)))</f>
        <v>0</v>
      </c>
      <c r="Q219" s="112"/>
    </row>
    <row r="220" spans="1:17" ht="12.75">
      <c r="A220" s="70"/>
      <c r="B220" s="112"/>
      <c r="C220" s="113"/>
      <c r="D220" s="114"/>
      <c r="E220" s="116"/>
      <c r="F220" s="144">
        <f t="shared" si="23"/>
        <v>0</v>
      </c>
      <c r="P220">
        <f t="shared" si="24"/>
        <v>0</v>
      </c>
      <c r="Q220" s="112"/>
    </row>
    <row r="221" spans="1:17" ht="12.75">
      <c r="A221" s="70"/>
      <c r="B221" s="112"/>
      <c r="C221" s="113"/>
      <c r="D221" s="114"/>
      <c r="E221" s="116"/>
      <c r="F221" s="144">
        <f t="shared" si="23"/>
        <v>0</v>
      </c>
      <c r="P221">
        <f t="shared" si="24"/>
        <v>0</v>
      </c>
      <c r="Q221" s="68"/>
    </row>
    <row r="222" spans="1:17" ht="12.75">
      <c r="A222" s="70"/>
      <c r="B222" s="112"/>
      <c r="C222" s="113"/>
      <c r="D222" s="114"/>
      <c r="E222" s="103"/>
      <c r="F222" s="144">
        <f t="shared" si="23"/>
        <v>0</v>
      </c>
      <c r="P222">
        <f t="shared" si="24"/>
        <v>0</v>
      </c>
      <c r="Q222" s="68"/>
    </row>
    <row r="223" spans="1:17" ht="12.75">
      <c r="A223" s="70"/>
      <c r="B223" s="112"/>
      <c r="C223" s="113"/>
      <c r="D223" s="114"/>
      <c r="E223" s="116"/>
      <c r="F223" s="144">
        <f t="shared" si="23"/>
        <v>0</v>
      </c>
      <c r="P223">
        <f t="shared" si="24"/>
        <v>0</v>
      </c>
      <c r="Q223" s="68"/>
    </row>
    <row r="224" spans="1:17" ht="12.75">
      <c r="A224" s="70"/>
      <c r="B224" s="112"/>
      <c r="C224" s="113"/>
      <c r="D224" s="114"/>
      <c r="E224" s="116"/>
      <c r="F224" s="144">
        <f t="shared" si="23"/>
        <v>0</v>
      </c>
      <c r="P224">
        <f t="shared" si="24"/>
        <v>0</v>
      </c>
      <c r="Q224" s="68"/>
    </row>
    <row r="225" spans="1:17" ht="12.75">
      <c r="A225" s="70"/>
      <c r="B225" s="112"/>
      <c r="C225" s="113"/>
      <c r="D225" s="114"/>
      <c r="E225" s="117"/>
      <c r="F225" s="144">
        <f t="shared" si="23"/>
        <v>0</v>
      </c>
      <c r="P225">
        <f t="shared" si="24"/>
        <v>0</v>
      </c>
      <c r="Q225" s="90"/>
    </row>
    <row r="226" spans="1:17" ht="12.75">
      <c r="A226" s="70"/>
      <c r="B226" s="112"/>
      <c r="C226" s="113"/>
      <c r="D226" s="114"/>
      <c r="E226" s="115"/>
      <c r="F226" s="144">
        <f t="shared" si="23"/>
        <v>0</v>
      </c>
      <c r="P226">
        <f t="shared" si="24"/>
        <v>0</v>
      </c>
      <c r="Q226" s="90"/>
    </row>
    <row r="227" spans="1:17" ht="12.75">
      <c r="A227" s="70"/>
      <c r="B227" s="90"/>
      <c r="C227" s="91"/>
      <c r="D227" s="92"/>
      <c r="E227" s="105"/>
      <c r="F227" s="144">
        <f t="shared" si="23"/>
        <v>0</v>
      </c>
      <c r="P227">
        <f t="shared" si="24"/>
        <v>0</v>
      </c>
      <c r="Q227" s="68"/>
    </row>
    <row r="228" spans="1:17" ht="12.75">
      <c r="A228" s="70"/>
      <c r="B228" s="90"/>
      <c r="C228" s="91"/>
      <c r="D228" s="92"/>
      <c r="E228" s="105"/>
      <c r="F228" s="144">
        <f t="shared" si="23"/>
        <v>0</v>
      </c>
      <c r="P228">
        <f t="shared" si="24"/>
        <v>0</v>
      </c>
      <c r="Q228" s="68"/>
    </row>
    <row r="229" spans="1:17" ht="12.75">
      <c r="A229" s="70"/>
      <c r="B229" s="90"/>
      <c r="C229" s="91"/>
      <c r="D229" s="92"/>
      <c r="E229" s="90"/>
      <c r="F229" s="144">
        <f t="shared" si="23"/>
        <v>0</v>
      </c>
      <c r="P229">
        <f t="shared" si="24"/>
        <v>0</v>
      </c>
      <c r="Q229" s="68"/>
    </row>
    <row r="230" spans="1:17" ht="12.75">
      <c r="A230" s="70"/>
      <c r="B230" s="68"/>
      <c r="C230" s="71"/>
      <c r="D230" s="72"/>
      <c r="E230" s="68"/>
      <c r="F230" s="144">
        <f t="shared" si="23"/>
        <v>0</v>
      </c>
      <c r="P230">
        <f t="shared" si="24"/>
        <v>0</v>
      </c>
      <c r="Q230" s="68"/>
    </row>
    <row r="231" spans="1:17" ht="12.75">
      <c r="A231" s="70"/>
      <c r="B231" s="68"/>
      <c r="C231" s="71"/>
      <c r="D231" s="72"/>
      <c r="E231" s="68"/>
      <c r="F231" s="144">
        <f t="shared" si="23"/>
        <v>0</v>
      </c>
      <c r="P231">
        <f t="shared" si="24"/>
        <v>0</v>
      </c>
      <c r="Q231" s="90"/>
    </row>
    <row r="232" spans="1:17" s="86" customFormat="1" ht="12.75">
      <c r="A232" s="124"/>
      <c r="B232" s="90"/>
      <c r="C232" s="91"/>
      <c r="D232" s="92"/>
      <c r="E232" s="90"/>
      <c r="F232" s="144">
        <f t="shared" si="23"/>
        <v>0</v>
      </c>
      <c r="G232"/>
      <c r="H232"/>
      <c r="I232"/>
      <c r="J232"/>
      <c r="K232"/>
      <c r="L232"/>
      <c r="M232"/>
      <c r="N232"/>
      <c r="O232"/>
      <c r="P232">
        <f t="shared" si="24"/>
        <v>0</v>
      </c>
      <c r="Q232" s="68"/>
    </row>
    <row r="233" spans="1:17" s="86" customFormat="1" ht="12.75">
      <c r="A233" s="124"/>
      <c r="B233" s="112"/>
      <c r="C233" s="113"/>
      <c r="D233" s="114"/>
      <c r="E233" s="103"/>
      <c r="F233" s="144">
        <f>IF(D233="+",C233,0)</f>
        <v>0</v>
      </c>
      <c r="G233"/>
      <c r="H233"/>
      <c r="I233"/>
      <c r="J233"/>
      <c r="K233"/>
      <c r="L233"/>
      <c r="M233"/>
      <c r="N233"/>
      <c r="O233"/>
      <c r="P233">
        <f t="shared" si="24"/>
        <v>0</v>
      </c>
      <c r="Q233" s="68"/>
    </row>
    <row r="234" spans="1:17" s="86" customFormat="1" ht="12.75">
      <c r="A234" s="124"/>
      <c r="B234" s="112"/>
      <c r="C234" s="113"/>
      <c r="D234" s="114"/>
      <c r="E234" s="112"/>
      <c r="F234" s="144">
        <f aca="true" t="shared" si="25" ref="F234:F252">IF(D234="+",C234,0)</f>
        <v>0</v>
      </c>
      <c r="G234"/>
      <c r="H234"/>
      <c r="I234"/>
      <c r="J234"/>
      <c r="K234"/>
      <c r="L234"/>
      <c r="M234"/>
      <c r="N234"/>
      <c r="O234"/>
      <c r="P234">
        <f t="shared" si="24"/>
        <v>0</v>
      </c>
      <c r="Q234" s="90"/>
    </row>
    <row r="235" spans="1:17" s="86" customFormat="1" ht="12.75">
      <c r="A235" s="124"/>
      <c r="B235" s="112"/>
      <c r="C235" s="113"/>
      <c r="D235" s="114"/>
      <c r="E235" s="103"/>
      <c r="F235" s="144">
        <f t="shared" si="25"/>
        <v>0</v>
      </c>
      <c r="G235"/>
      <c r="H235"/>
      <c r="I235"/>
      <c r="J235"/>
      <c r="K235"/>
      <c r="L235"/>
      <c r="M235"/>
      <c r="N235"/>
      <c r="O235"/>
      <c r="P235">
        <f t="shared" si="24"/>
        <v>0</v>
      </c>
      <c r="Q235" s="68"/>
    </row>
    <row r="236" spans="1:17" s="86" customFormat="1" ht="12.75">
      <c r="A236" s="124"/>
      <c r="B236" s="112"/>
      <c r="C236" s="113"/>
      <c r="D236" s="114"/>
      <c r="E236" s="90"/>
      <c r="F236" s="144">
        <f t="shared" si="25"/>
        <v>0</v>
      </c>
      <c r="G236"/>
      <c r="H236"/>
      <c r="I236"/>
      <c r="J236"/>
      <c r="K236"/>
      <c r="L236"/>
      <c r="M236"/>
      <c r="N236"/>
      <c r="O236"/>
      <c r="P236">
        <f t="shared" si="24"/>
        <v>0</v>
      </c>
      <c r="Q236" s="68"/>
    </row>
    <row r="237" spans="1:17" s="86" customFormat="1" ht="12.75">
      <c r="A237" s="124"/>
      <c r="B237" s="90"/>
      <c r="C237" s="91"/>
      <c r="D237" s="92"/>
      <c r="E237" s="90"/>
      <c r="F237" s="144">
        <f t="shared" si="25"/>
        <v>0</v>
      </c>
      <c r="G237"/>
      <c r="H237"/>
      <c r="I237"/>
      <c r="J237"/>
      <c r="K237"/>
      <c r="L237"/>
      <c r="M237"/>
      <c r="N237"/>
      <c r="O237"/>
      <c r="P237">
        <f t="shared" si="24"/>
        <v>0</v>
      </c>
      <c r="Q237" s="68"/>
    </row>
    <row r="238" spans="1:17" s="86" customFormat="1" ht="12.75">
      <c r="A238" s="124"/>
      <c r="B238" s="90"/>
      <c r="C238" s="91"/>
      <c r="D238" s="92"/>
      <c r="E238" s="103"/>
      <c r="F238" s="144">
        <f t="shared" si="25"/>
        <v>0</v>
      </c>
      <c r="G238"/>
      <c r="H238"/>
      <c r="I238"/>
      <c r="J238"/>
      <c r="K238"/>
      <c r="L238"/>
      <c r="M238"/>
      <c r="N238"/>
      <c r="O238"/>
      <c r="P238">
        <f t="shared" si="24"/>
        <v>0</v>
      </c>
      <c r="Q238" s="90"/>
    </row>
    <row r="239" spans="1:17" s="86" customFormat="1" ht="12.75">
      <c r="A239" s="124"/>
      <c r="B239" s="112"/>
      <c r="C239" s="113"/>
      <c r="D239" s="114"/>
      <c r="E239" s="112"/>
      <c r="F239" s="144">
        <f t="shared" si="25"/>
        <v>0</v>
      </c>
      <c r="G239"/>
      <c r="H239"/>
      <c r="I239"/>
      <c r="J239"/>
      <c r="K239"/>
      <c r="L239"/>
      <c r="M239"/>
      <c r="N239"/>
      <c r="O239"/>
      <c r="P239">
        <f t="shared" si="24"/>
        <v>0</v>
      </c>
      <c r="Q239" s="68"/>
    </row>
    <row r="240" spans="1:17" s="86" customFormat="1" ht="12.75">
      <c r="A240" s="124"/>
      <c r="B240" s="112"/>
      <c r="C240" s="113"/>
      <c r="D240" s="114"/>
      <c r="E240" s="112"/>
      <c r="F240" s="144">
        <f t="shared" si="25"/>
        <v>0</v>
      </c>
      <c r="G240"/>
      <c r="H240"/>
      <c r="I240"/>
      <c r="J240"/>
      <c r="K240"/>
      <c r="L240"/>
      <c r="M240"/>
      <c r="N240"/>
      <c r="O240"/>
      <c r="P240">
        <f aca="true" t="shared" si="26" ref="P240:P251">IF(A240="",0,CONCATENATE(TEXT(YEAR(A240),0),TEXT(MONTH(A240),0)))</f>
        <v>0</v>
      </c>
      <c r="Q240" s="68"/>
    </row>
    <row r="241" spans="1:17" s="86" customFormat="1" ht="12.75">
      <c r="A241" s="124"/>
      <c r="B241" s="112"/>
      <c r="C241" s="113"/>
      <c r="D241" s="114"/>
      <c r="E241" s="112"/>
      <c r="F241" s="144">
        <f t="shared" si="25"/>
        <v>0</v>
      </c>
      <c r="G241"/>
      <c r="H241"/>
      <c r="I241"/>
      <c r="J241"/>
      <c r="K241"/>
      <c r="L241"/>
      <c r="M241"/>
      <c r="N241"/>
      <c r="O241"/>
      <c r="P241">
        <f t="shared" si="26"/>
        <v>0</v>
      </c>
      <c r="Q241" s="68"/>
    </row>
    <row r="242" spans="1:17" s="86" customFormat="1" ht="12.75">
      <c r="A242" s="124"/>
      <c r="B242" s="112"/>
      <c r="C242" s="113"/>
      <c r="D242" s="114"/>
      <c r="E242" s="112"/>
      <c r="F242" s="144">
        <f t="shared" si="25"/>
        <v>0</v>
      </c>
      <c r="G242"/>
      <c r="H242"/>
      <c r="I242"/>
      <c r="J242"/>
      <c r="K242"/>
      <c r="L242"/>
      <c r="M242"/>
      <c r="N242"/>
      <c r="O242"/>
      <c r="P242">
        <f t="shared" si="26"/>
        <v>0</v>
      </c>
      <c r="Q242" s="68"/>
    </row>
    <row r="243" spans="1:17" s="86" customFormat="1" ht="12.75">
      <c r="A243" s="124"/>
      <c r="B243" s="112"/>
      <c r="C243" s="113"/>
      <c r="D243" s="114"/>
      <c r="E243" s="112"/>
      <c r="F243" s="144">
        <f t="shared" si="25"/>
        <v>0</v>
      </c>
      <c r="G243"/>
      <c r="H243"/>
      <c r="I243"/>
      <c r="J243"/>
      <c r="K243"/>
      <c r="L243"/>
      <c r="M243"/>
      <c r="N243"/>
      <c r="O243"/>
      <c r="P243">
        <f t="shared" si="26"/>
        <v>0</v>
      </c>
      <c r="Q243" s="68"/>
    </row>
    <row r="244" spans="1:17" s="86" customFormat="1" ht="12.75">
      <c r="A244" s="124"/>
      <c r="B244" s="112"/>
      <c r="C244" s="113"/>
      <c r="D244" s="114"/>
      <c r="E244" s="112"/>
      <c r="F244" s="144">
        <f t="shared" si="25"/>
        <v>0</v>
      </c>
      <c r="G244"/>
      <c r="H244"/>
      <c r="I244"/>
      <c r="J244"/>
      <c r="K244"/>
      <c r="L244"/>
      <c r="M244"/>
      <c r="N244"/>
      <c r="O244"/>
      <c r="P244">
        <f t="shared" si="26"/>
        <v>0</v>
      </c>
      <c r="Q244" s="68"/>
    </row>
    <row r="245" spans="1:17" s="86" customFormat="1" ht="12.75">
      <c r="A245" s="120"/>
      <c r="B245" s="125"/>
      <c r="C245" s="126"/>
      <c r="D245" s="127"/>
      <c r="E245" s="125"/>
      <c r="F245" s="144">
        <f t="shared" si="25"/>
        <v>0</v>
      </c>
      <c r="G245"/>
      <c r="H245"/>
      <c r="I245"/>
      <c r="J245"/>
      <c r="K245"/>
      <c r="L245"/>
      <c r="M245"/>
      <c r="N245"/>
      <c r="O245"/>
      <c r="P245">
        <f t="shared" si="26"/>
        <v>0</v>
      </c>
      <c r="Q245" s="121"/>
    </row>
    <row r="246" spans="1:17" s="86" customFormat="1" ht="12.75">
      <c r="A246" s="120"/>
      <c r="B246" s="125"/>
      <c r="C246" s="126"/>
      <c r="D246" s="127"/>
      <c r="E246" s="125"/>
      <c r="F246" s="144">
        <f t="shared" si="25"/>
        <v>0</v>
      </c>
      <c r="G246"/>
      <c r="H246"/>
      <c r="I246"/>
      <c r="J246"/>
      <c r="K246"/>
      <c r="L246"/>
      <c r="M246"/>
      <c r="N246"/>
      <c r="O246"/>
      <c r="P246">
        <f t="shared" si="26"/>
        <v>0</v>
      </c>
      <c r="Q246" s="121"/>
    </row>
    <row r="247" spans="1:17" s="86" customFormat="1" ht="12.75">
      <c r="A247" s="120"/>
      <c r="B247" s="125"/>
      <c r="C247" s="126"/>
      <c r="D247" s="127"/>
      <c r="E247" s="125"/>
      <c r="F247" s="144">
        <f t="shared" si="25"/>
        <v>0</v>
      </c>
      <c r="G247"/>
      <c r="H247"/>
      <c r="I247"/>
      <c r="J247"/>
      <c r="K247"/>
      <c r="L247"/>
      <c r="M247"/>
      <c r="N247"/>
      <c r="O247"/>
      <c r="P247">
        <f t="shared" si="26"/>
        <v>0</v>
      </c>
      <c r="Q247" s="121"/>
    </row>
    <row r="248" spans="1:17" s="86" customFormat="1" ht="12.75">
      <c r="A248" s="120"/>
      <c r="B248" s="125"/>
      <c r="C248" s="126"/>
      <c r="D248" s="127"/>
      <c r="E248" s="125"/>
      <c r="F248" s="144">
        <f t="shared" si="25"/>
        <v>0</v>
      </c>
      <c r="G248"/>
      <c r="H248"/>
      <c r="I248"/>
      <c r="J248"/>
      <c r="K248"/>
      <c r="L248"/>
      <c r="M248"/>
      <c r="N248"/>
      <c r="O248"/>
      <c r="P248">
        <f t="shared" si="26"/>
        <v>0</v>
      </c>
      <c r="Q248" s="121"/>
    </row>
    <row r="249" spans="1:17" s="86" customFormat="1" ht="12.75">
      <c r="A249" s="120"/>
      <c r="B249" s="121"/>
      <c r="C249" s="122"/>
      <c r="D249" s="123"/>
      <c r="E249" s="121"/>
      <c r="F249" s="144">
        <f t="shared" si="25"/>
        <v>0</v>
      </c>
      <c r="G249"/>
      <c r="H249"/>
      <c r="I249"/>
      <c r="J249"/>
      <c r="K249"/>
      <c r="L249"/>
      <c r="M249"/>
      <c r="N249"/>
      <c r="O249"/>
      <c r="P249">
        <f t="shared" si="26"/>
        <v>0</v>
      </c>
      <c r="Q249" s="121"/>
    </row>
    <row r="250" spans="1:17" ht="12.75">
      <c r="A250" s="70"/>
      <c r="B250" s="68"/>
      <c r="C250" s="71"/>
      <c r="D250" s="72"/>
      <c r="E250" s="68"/>
      <c r="F250" s="144">
        <f t="shared" si="25"/>
        <v>0</v>
      </c>
      <c r="P250">
        <f t="shared" si="26"/>
        <v>0</v>
      </c>
      <c r="Q250" s="68"/>
    </row>
    <row r="251" spans="1:17" ht="12.75">
      <c r="A251" s="70"/>
      <c r="B251" s="68"/>
      <c r="C251" s="71"/>
      <c r="D251" s="72"/>
      <c r="E251" s="68"/>
      <c r="F251" s="144">
        <f t="shared" si="25"/>
        <v>0</v>
      </c>
      <c r="P251">
        <f t="shared" si="26"/>
        <v>0</v>
      </c>
      <c r="Q251" s="90"/>
    </row>
    <row r="252" spans="1:17" ht="12.75">
      <c r="A252" s="62"/>
      <c r="B252" s="65"/>
      <c r="C252" s="66"/>
      <c r="D252" s="67"/>
      <c r="E252" s="65"/>
      <c r="F252" s="144">
        <f t="shared" si="25"/>
        <v>0</v>
      </c>
      <c r="P252">
        <f>IF(A252="",0,CONCATENATE(TEXT(YEAR(A252),0),TEXT(MONTH(A252),0)))</f>
        <v>0</v>
      </c>
      <c r="Q252" s="90"/>
    </row>
    <row r="253" spans="3:5" ht="12.75">
      <c r="C253" s="23">
        <f>SUM(C3:C252)</f>
        <v>137658.5</v>
      </c>
      <c r="E253">
        <f>SUM(F3:F252)</f>
        <v>43904.5</v>
      </c>
    </row>
  </sheetData>
  <sheetProtection/>
  <autoFilter ref="A2:Q253"/>
  <conditionalFormatting sqref="A180:A252 A163:A178 E150:E252 B126:C252 A126:A161 E126:E147 Q126:Q65536 Q3:Q123 E3:E123 A3:C123">
    <cfRule type="expression" priority="1" dxfId="5" stopIfTrue="1">
      <formula>$D3&lt;&gt;"+"</formula>
    </cfRule>
  </conditionalFormatting>
  <conditionalFormatting sqref="A179">
    <cfRule type="expression" priority="2" dxfId="5" stopIfTrue="1">
      <formula>$D180&lt;&gt;"+"</formula>
    </cfRule>
  </conditionalFormatting>
  <hyperlinks>
    <hyperlink ref="E54" r:id="rId1" display="Castrol TBE"/>
    <hyperlink ref="E58" r:id="rId2" display="Castrol TBE"/>
    <hyperlink ref="E59" r:id="rId3" display="Idemitsu Extreme Touring 5W40 SM/CF"/>
    <hyperlink ref="E62" r:id="rId4" display="KenWood OEM 72311AG000"/>
    <hyperlink ref="E63" r:id="rId5" display="Китайские"/>
    <hyperlink ref="Q63" r:id="rId6" display="И-нет магаз к-size.ru"/>
    <hyperlink ref="E55" r:id="rId7" display="Hankook Ventus V8RS"/>
    <hyperlink ref="E64" r:id="rId8" display="Hankook Ventus V8RS"/>
    <hyperlink ref="E68" r:id="rId9" display="Subaru 86548-AG080"/>
    <hyperlink ref="E69" r:id="rId10" display="B27016PR"/>
    <hyperlink ref="E81" r:id="rId11" display="Castrol TBE"/>
    <hyperlink ref="E75" r:id="rId12" display="Castrol TBE"/>
    <hyperlink ref="E87" r:id="rId13" display="Castrol TBE"/>
    <hyperlink ref="E90" r:id="rId14" display="Crunch Elite"/>
    <hyperlink ref="E91" r:id="rId15" display="MobilePlanet-002"/>
    <hyperlink ref="E92" r:id="rId16" display="Hankook Winter i*PIKE, 205/60/16"/>
    <hyperlink ref="E88" r:id="rId17" display="Don Deal"/>
    <hyperlink ref="E96" r:id="rId18" display="Castrol TBE"/>
    <hyperlink ref="E97" r:id="rId19" display="Idemitsu Extreme Eco 5W30 SM/CF"/>
    <hyperlink ref="E102" r:id="rId20" display="Castrol TBE"/>
    <hyperlink ref="E106" r:id="rId21" display="NSK 60TB0648E"/>
    <hyperlink ref="E105" r:id="rId22" display="NSK 59TB0515"/>
    <hyperlink ref="E104" r:id="rId23" display="NSK 60TB0693"/>
    <hyperlink ref="E103" r:id="rId24" display="Subaru 13028-AA230"/>
    <hyperlink ref="E107" r:id="rId25" display="Subaru 806732150"/>
    <hyperlink ref="E108" r:id="rId26" display="Subaru 806733030"/>
    <hyperlink ref="E109" r:id="rId27" display="Subaru 10966-AA000"/>
    <hyperlink ref="E110" r:id="rId28" display="Subaru 13294-AA053"/>
    <hyperlink ref="E112" r:id="rId29" display="Subaru 13271-AA071"/>
    <hyperlink ref="E111" r:id="rId30" display="Subaru 13033-AA042"/>
    <hyperlink ref="E113" r:id="rId31" display="Castrol TBE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80" r:id="rId3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Q171"/>
  <sheetViews>
    <sheetView showZeros="0" zoomScalePageLayoutView="0" workbookViewId="0" topLeftCell="A1">
      <selection activeCell="B3" sqref="B3"/>
    </sheetView>
  </sheetViews>
  <sheetFormatPr defaultColWidth="9.00390625" defaultRowHeight="12.75"/>
  <cols>
    <col min="1" max="1" width="11.00390625" style="18" customWidth="1"/>
    <col min="2" max="2" width="50.625" style="26" customWidth="1"/>
    <col min="3" max="3" width="9.125" style="23" customWidth="1"/>
    <col min="4" max="4" width="11.00390625" style="16" customWidth="1"/>
    <col min="5" max="5" width="2.625" style="25" customWidth="1"/>
    <col min="6" max="6" width="7.625" style="31" customWidth="1"/>
    <col min="7" max="7" width="8.875" style="0" customWidth="1"/>
    <col min="8" max="8" width="10.25390625" style="0" customWidth="1"/>
    <col min="9" max="9" width="27.25390625" style="23" customWidth="1"/>
    <col min="11" max="11" width="6.625" style="0" customWidth="1"/>
    <col min="12" max="16" width="1.75390625" style="0" customWidth="1"/>
  </cols>
  <sheetData>
    <row r="1" spans="1:9" ht="25.5" customHeight="1">
      <c r="A1" s="1" t="s">
        <v>0</v>
      </c>
      <c r="B1" s="20" t="s">
        <v>23</v>
      </c>
      <c r="C1" s="21" t="s">
        <v>2</v>
      </c>
      <c r="D1" s="3" t="s">
        <v>3</v>
      </c>
      <c r="E1" s="22" t="s">
        <v>26</v>
      </c>
      <c r="F1" s="28" t="s">
        <v>29</v>
      </c>
      <c r="G1" s="27" t="s">
        <v>27</v>
      </c>
      <c r="H1" s="27" t="s">
        <v>28</v>
      </c>
      <c r="I1" s="21" t="s">
        <v>25</v>
      </c>
    </row>
    <row r="2" spans="1:9" ht="25.5" customHeight="1">
      <c r="A2" s="1"/>
      <c r="B2" s="20"/>
      <c r="C2" s="21"/>
      <c r="D2" s="3"/>
      <c r="E2" s="22"/>
      <c r="F2" s="28"/>
      <c r="G2" s="29">
        <f ca="1">TODAY()</f>
        <v>40617</v>
      </c>
      <c r="H2" s="27">
        <f>Бензин!E2</f>
        <v>244532</v>
      </c>
      <c r="I2" s="21"/>
    </row>
    <row r="3" spans="1:17" ht="12.75">
      <c r="A3" s="62">
        <v>40607</v>
      </c>
      <c r="B3" s="65" t="s">
        <v>414</v>
      </c>
      <c r="C3" s="66">
        <v>300</v>
      </c>
      <c r="D3" s="63">
        <v>244300</v>
      </c>
      <c r="E3" s="67" t="s">
        <v>26</v>
      </c>
      <c r="F3" s="30">
        <f aca="true" t="shared" si="0" ref="F3:F25">IF(E3="+",C3,0)</f>
        <v>300</v>
      </c>
      <c r="G3" s="11">
        <f aca="true" t="shared" si="1" ref="G3:G34">(IF($E3="+",(G$2-$A3),0))/30.41667</f>
        <v>0.3287670872584014</v>
      </c>
      <c r="H3" s="11">
        <f aca="true" t="shared" si="2" ref="H3:H34">IF($E3="+",(H$2-$D3),0)</f>
        <v>232</v>
      </c>
      <c r="I3" s="14" t="s">
        <v>405</v>
      </c>
      <c r="Q3" t="str">
        <f aca="true" t="shared" si="3" ref="Q3:Q52">IF(A3="",0,CONCATENATE(TEXT(YEAR(A3),0),TEXT(MONTH(A3),0)))</f>
        <v>20113</v>
      </c>
    </row>
    <row r="4" spans="1:17" ht="12.75">
      <c r="A4" s="62">
        <v>40565</v>
      </c>
      <c r="B4" s="65" t="s">
        <v>44</v>
      </c>
      <c r="C4" s="66"/>
      <c r="D4" s="63">
        <v>241600</v>
      </c>
      <c r="E4" s="67" t="s">
        <v>26</v>
      </c>
      <c r="F4" s="30">
        <f t="shared" si="0"/>
        <v>0</v>
      </c>
      <c r="G4" s="11">
        <f t="shared" si="1"/>
        <v>1.7095888537436872</v>
      </c>
      <c r="H4" s="11">
        <f t="shared" si="2"/>
        <v>2932</v>
      </c>
      <c r="I4" s="66"/>
      <c r="Q4" t="str">
        <f t="shared" si="3"/>
        <v>20111</v>
      </c>
    </row>
    <row r="5" spans="1:17" ht="12.75">
      <c r="A5" s="62">
        <v>40565</v>
      </c>
      <c r="B5" s="64" t="s">
        <v>53</v>
      </c>
      <c r="C5" s="66"/>
      <c r="D5" s="63">
        <v>241600</v>
      </c>
      <c r="E5" s="67" t="s">
        <v>26</v>
      </c>
      <c r="F5" s="30">
        <f t="shared" si="0"/>
        <v>0</v>
      </c>
      <c r="G5" s="11">
        <f t="shared" si="1"/>
        <v>1.7095888537436872</v>
      </c>
      <c r="H5" s="11">
        <f t="shared" si="2"/>
        <v>2932</v>
      </c>
      <c r="I5" s="66"/>
      <c r="Q5" t="str">
        <f t="shared" si="3"/>
        <v>20111</v>
      </c>
    </row>
    <row r="6" spans="1:17" ht="12.75">
      <c r="A6" s="62">
        <v>40565</v>
      </c>
      <c r="B6" s="65" t="s">
        <v>54</v>
      </c>
      <c r="C6" s="66"/>
      <c r="D6" s="63">
        <v>241600</v>
      </c>
      <c r="E6" s="67" t="s">
        <v>26</v>
      </c>
      <c r="F6" s="30">
        <f t="shared" si="0"/>
        <v>0</v>
      </c>
      <c r="G6" s="11">
        <f t="shared" si="1"/>
        <v>1.7095888537436872</v>
      </c>
      <c r="H6" s="11">
        <f t="shared" si="2"/>
        <v>2932</v>
      </c>
      <c r="I6" s="66"/>
      <c r="Q6" t="str">
        <f t="shared" si="3"/>
        <v>20111</v>
      </c>
    </row>
    <row r="7" spans="1:17" ht="12.75">
      <c r="A7" s="62">
        <v>40563</v>
      </c>
      <c r="B7" s="14" t="s">
        <v>63</v>
      </c>
      <c r="C7" s="66">
        <v>100</v>
      </c>
      <c r="D7" s="63">
        <v>242000</v>
      </c>
      <c r="E7" s="67" t="s">
        <v>26</v>
      </c>
      <c r="F7" s="30">
        <f t="shared" si="0"/>
        <v>100</v>
      </c>
      <c r="G7" s="11">
        <f t="shared" si="1"/>
        <v>1.7753422711953675</v>
      </c>
      <c r="H7" s="11">
        <f t="shared" si="2"/>
        <v>2532</v>
      </c>
      <c r="I7" s="14" t="s">
        <v>405</v>
      </c>
      <c r="Q7" t="str">
        <f t="shared" si="3"/>
        <v>20111</v>
      </c>
    </row>
    <row r="8" spans="1:17" ht="12.75">
      <c r="A8" s="62">
        <v>40522</v>
      </c>
      <c r="B8" s="65" t="s">
        <v>389</v>
      </c>
      <c r="C8" s="66">
        <v>610</v>
      </c>
      <c r="D8" s="63">
        <v>239200</v>
      </c>
      <c r="E8" s="67" t="s">
        <v>26</v>
      </c>
      <c r="F8" s="30">
        <f t="shared" si="0"/>
        <v>610</v>
      </c>
      <c r="G8" s="11">
        <f t="shared" si="1"/>
        <v>3.123287328954813</v>
      </c>
      <c r="H8" s="11">
        <f t="shared" si="2"/>
        <v>5332</v>
      </c>
      <c r="I8" s="66" t="s">
        <v>390</v>
      </c>
      <c r="Q8" t="str">
        <f t="shared" si="3"/>
        <v>201012</v>
      </c>
    </row>
    <row r="9" spans="1:17" ht="12.75">
      <c r="A9" s="62">
        <v>40509</v>
      </c>
      <c r="B9" s="90" t="s">
        <v>394</v>
      </c>
      <c r="C9" s="66"/>
      <c r="D9" s="63">
        <v>238800</v>
      </c>
      <c r="E9" s="67" t="s">
        <v>26</v>
      </c>
      <c r="F9" s="30">
        <f t="shared" si="0"/>
        <v>0</v>
      </c>
      <c r="G9" s="11">
        <f t="shared" si="1"/>
        <v>3.550684542390735</v>
      </c>
      <c r="H9" s="11">
        <f t="shared" si="2"/>
        <v>5732</v>
      </c>
      <c r="I9" s="65" t="s">
        <v>388</v>
      </c>
      <c r="Q9" t="str">
        <f t="shared" si="3"/>
        <v>201011</v>
      </c>
    </row>
    <row r="10" spans="1:17" ht="12.75">
      <c r="A10" s="62">
        <v>40453</v>
      </c>
      <c r="B10" s="65" t="s">
        <v>382</v>
      </c>
      <c r="C10" s="66"/>
      <c r="D10" s="63">
        <v>236800</v>
      </c>
      <c r="E10" s="67" t="s">
        <v>26</v>
      </c>
      <c r="F10" s="30">
        <f t="shared" si="0"/>
        <v>0</v>
      </c>
      <c r="G10" s="11">
        <f t="shared" si="1"/>
        <v>5.391780231037783</v>
      </c>
      <c r="H10" s="11">
        <f t="shared" si="2"/>
        <v>7732</v>
      </c>
      <c r="I10" s="66"/>
      <c r="Q10" t="str">
        <f t="shared" si="3"/>
        <v>201010</v>
      </c>
    </row>
    <row r="11" spans="1:17" ht="12.75">
      <c r="A11" s="62">
        <v>40394</v>
      </c>
      <c r="B11" s="65" t="s">
        <v>65</v>
      </c>
      <c r="C11" s="66">
        <v>200</v>
      </c>
      <c r="D11" s="63">
        <v>234400</v>
      </c>
      <c r="E11" s="67" t="s">
        <v>26</v>
      </c>
      <c r="F11" s="30">
        <f t="shared" si="0"/>
        <v>200</v>
      </c>
      <c r="G11" s="11">
        <f t="shared" si="1"/>
        <v>7.331506045862351</v>
      </c>
      <c r="H11" s="11">
        <f t="shared" si="2"/>
        <v>10132</v>
      </c>
      <c r="I11" s="66" t="s">
        <v>395</v>
      </c>
      <c r="Q11" t="str">
        <f t="shared" si="3"/>
        <v>20108</v>
      </c>
    </row>
    <row r="12" spans="1:17" ht="12.75">
      <c r="A12" s="62">
        <v>40389</v>
      </c>
      <c r="B12" s="65" t="s">
        <v>44</v>
      </c>
      <c r="C12" s="66">
        <v>349</v>
      </c>
      <c r="D12" s="63">
        <v>234100</v>
      </c>
      <c r="E12" s="67" t="s">
        <v>26</v>
      </c>
      <c r="F12" s="30">
        <f t="shared" si="0"/>
        <v>349</v>
      </c>
      <c r="G12" s="11">
        <f t="shared" si="1"/>
        <v>7.495889589491552</v>
      </c>
      <c r="H12" s="11">
        <f t="shared" si="2"/>
        <v>10432</v>
      </c>
      <c r="I12" s="66" t="s">
        <v>371</v>
      </c>
      <c r="Q12" t="str">
        <f t="shared" si="3"/>
        <v>20107</v>
      </c>
    </row>
    <row r="13" spans="1:17" ht="12.75">
      <c r="A13" s="62">
        <v>40389</v>
      </c>
      <c r="B13" s="65" t="s">
        <v>54</v>
      </c>
      <c r="C13" s="66"/>
      <c r="D13" s="63">
        <v>234100</v>
      </c>
      <c r="E13" s="67" t="s">
        <v>26</v>
      </c>
      <c r="F13" s="30">
        <f t="shared" si="0"/>
        <v>0</v>
      </c>
      <c r="G13" s="11">
        <f t="shared" si="1"/>
        <v>7.495889589491552</v>
      </c>
      <c r="H13" s="11">
        <f t="shared" si="2"/>
        <v>10432</v>
      </c>
      <c r="I13" s="66" t="s">
        <v>371</v>
      </c>
      <c r="Q13" t="str">
        <f t="shared" si="3"/>
        <v>20107</v>
      </c>
    </row>
    <row r="14" spans="1:17" ht="12.75">
      <c r="A14" s="62">
        <v>40389</v>
      </c>
      <c r="B14" s="64" t="s">
        <v>65</v>
      </c>
      <c r="C14" s="66">
        <v>1000</v>
      </c>
      <c r="D14" s="63">
        <v>234100</v>
      </c>
      <c r="E14" s="67" t="s">
        <v>26</v>
      </c>
      <c r="F14" s="30">
        <f t="shared" si="0"/>
        <v>1000</v>
      </c>
      <c r="G14" s="11">
        <f t="shared" si="1"/>
        <v>7.495889589491552</v>
      </c>
      <c r="H14" s="11">
        <f t="shared" si="2"/>
        <v>10432</v>
      </c>
      <c r="I14" s="66" t="s">
        <v>371</v>
      </c>
      <c r="Q14" t="str">
        <f t="shared" si="3"/>
        <v>20107</v>
      </c>
    </row>
    <row r="15" spans="1:17" ht="12.75">
      <c r="A15" s="62">
        <v>40386</v>
      </c>
      <c r="B15" s="108" t="s">
        <v>68</v>
      </c>
      <c r="C15" s="66">
        <v>1000</v>
      </c>
      <c r="D15" s="63">
        <v>233950</v>
      </c>
      <c r="E15" s="67" t="s">
        <v>26</v>
      </c>
      <c r="F15" s="30">
        <f t="shared" si="0"/>
        <v>1000</v>
      </c>
      <c r="G15" s="11">
        <f t="shared" si="1"/>
        <v>7.5945197156690725</v>
      </c>
      <c r="H15" s="11">
        <f t="shared" si="2"/>
        <v>10582</v>
      </c>
      <c r="I15" s="66" t="s">
        <v>369</v>
      </c>
      <c r="Q15" t="str">
        <f t="shared" si="3"/>
        <v>20107</v>
      </c>
    </row>
    <row r="16" spans="1:17" ht="12.75">
      <c r="A16" s="62">
        <v>40378</v>
      </c>
      <c r="B16" s="65" t="s">
        <v>367</v>
      </c>
      <c r="C16" s="66">
        <v>250</v>
      </c>
      <c r="D16" s="63">
        <v>231800</v>
      </c>
      <c r="E16" s="67" t="s">
        <v>26</v>
      </c>
      <c r="F16" s="30">
        <f t="shared" si="0"/>
        <v>250</v>
      </c>
      <c r="G16" s="11">
        <f t="shared" si="1"/>
        <v>7.857533385475794</v>
      </c>
      <c r="H16" s="11">
        <f t="shared" si="2"/>
        <v>12732</v>
      </c>
      <c r="I16" s="66" t="s">
        <v>383</v>
      </c>
      <c r="Q16" t="str">
        <f t="shared" si="3"/>
        <v>20107</v>
      </c>
    </row>
    <row r="17" spans="1:17" ht="12.75">
      <c r="A17" s="62">
        <v>40378</v>
      </c>
      <c r="B17" s="65" t="s">
        <v>368</v>
      </c>
      <c r="C17" s="66">
        <v>900</v>
      </c>
      <c r="D17" s="63">
        <v>231800</v>
      </c>
      <c r="E17" s="67" t="s">
        <v>26</v>
      </c>
      <c r="F17" s="30">
        <f t="shared" si="0"/>
        <v>900</v>
      </c>
      <c r="G17" s="11">
        <f t="shared" si="1"/>
        <v>7.857533385475794</v>
      </c>
      <c r="H17" s="11">
        <f t="shared" si="2"/>
        <v>12732</v>
      </c>
      <c r="I17" s="66" t="s">
        <v>383</v>
      </c>
      <c r="Q17" t="str">
        <f t="shared" si="3"/>
        <v>20107</v>
      </c>
    </row>
    <row r="18" spans="1:17" ht="12.75">
      <c r="A18" s="62">
        <v>40303</v>
      </c>
      <c r="B18" s="65" t="s">
        <v>353</v>
      </c>
      <c r="C18" s="66">
        <v>500</v>
      </c>
      <c r="D18" s="63">
        <v>226900</v>
      </c>
      <c r="E18" s="67" t="s">
        <v>26</v>
      </c>
      <c r="F18" s="30">
        <f t="shared" si="0"/>
        <v>500</v>
      </c>
      <c r="G18" s="11">
        <f t="shared" si="1"/>
        <v>10.323286539913804</v>
      </c>
      <c r="H18" s="11">
        <f t="shared" si="2"/>
        <v>17632</v>
      </c>
      <c r="I18" s="66" t="s">
        <v>383</v>
      </c>
      <c r="Q18" t="str">
        <f t="shared" si="3"/>
        <v>20105</v>
      </c>
    </row>
    <row r="19" spans="1:17" ht="12.75">
      <c r="A19" s="62">
        <v>40287</v>
      </c>
      <c r="B19" s="90" t="s">
        <v>394</v>
      </c>
      <c r="C19" s="66"/>
      <c r="D19" s="63">
        <v>226000</v>
      </c>
      <c r="E19" s="67" t="s">
        <v>26</v>
      </c>
      <c r="F19" s="30">
        <f t="shared" si="0"/>
        <v>0</v>
      </c>
      <c r="G19" s="11">
        <f t="shared" si="1"/>
        <v>10.849313879527246</v>
      </c>
      <c r="H19" s="11">
        <f t="shared" si="2"/>
        <v>18532</v>
      </c>
      <c r="I19" s="65" t="s">
        <v>352</v>
      </c>
      <c r="Q19" t="str">
        <f t="shared" si="3"/>
        <v>20104</v>
      </c>
    </row>
    <row r="20" spans="1:17" ht="12.75">
      <c r="A20" s="62">
        <v>39995</v>
      </c>
      <c r="B20" s="156" t="s">
        <v>63</v>
      </c>
      <c r="C20" s="66">
        <v>300</v>
      </c>
      <c r="D20" s="63">
        <v>213000</v>
      </c>
      <c r="E20" s="67" t="s">
        <v>26</v>
      </c>
      <c r="F20" s="30">
        <f t="shared" si="0"/>
        <v>300</v>
      </c>
      <c r="G20" s="11">
        <f t="shared" si="1"/>
        <v>20.449312827472568</v>
      </c>
      <c r="H20" s="11">
        <f t="shared" si="2"/>
        <v>31532</v>
      </c>
      <c r="I20" s="157" t="s">
        <v>333</v>
      </c>
      <c r="Q20" t="str">
        <f t="shared" si="3"/>
        <v>20097</v>
      </c>
    </row>
    <row r="21" spans="1:17" ht="12.75">
      <c r="A21" s="62">
        <v>39995</v>
      </c>
      <c r="B21" s="65" t="s">
        <v>332</v>
      </c>
      <c r="C21" s="66">
        <v>450</v>
      </c>
      <c r="D21" s="63">
        <v>213000</v>
      </c>
      <c r="E21" s="67" t="s">
        <v>26</v>
      </c>
      <c r="F21" s="30">
        <f t="shared" si="0"/>
        <v>450</v>
      </c>
      <c r="G21" s="11">
        <f t="shared" si="1"/>
        <v>20.449312827472568</v>
      </c>
      <c r="H21" s="11">
        <f t="shared" si="2"/>
        <v>31532</v>
      </c>
      <c r="I21" s="157" t="s">
        <v>333</v>
      </c>
      <c r="Q21" t="str">
        <f t="shared" si="3"/>
        <v>20097</v>
      </c>
    </row>
    <row r="22" spans="1:17" ht="12.75">
      <c r="A22" s="62"/>
      <c r="B22" s="65" t="s">
        <v>158</v>
      </c>
      <c r="C22" s="66"/>
      <c r="D22" s="63"/>
      <c r="E22" s="67"/>
      <c r="F22" s="30">
        <f t="shared" si="0"/>
        <v>0</v>
      </c>
      <c r="G22" s="11">
        <f t="shared" si="1"/>
        <v>0</v>
      </c>
      <c r="H22" s="11">
        <f t="shared" si="2"/>
        <v>0</v>
      </c>
      <c r="I22" s="66"/>
      <c r="Q22">
        <f t="shared" si="3"/>
        <v>0</v>
      </c>
    </row>
    <row r="23" spans="1:17" ht="12.75">
      <c r="A23" s="73"/>
      <c r="B23" s="65" t="s">
        <v>131</v>
      </c>
      <c r="C23" s="66"/>
      <c r="D23" s="63"/>
      <c r="E23" s="67"/>
      <c r="F23" s="30">
        <f t="shared" si="0"/>
        <v>0</v>
      </c>
      <c r="G23" s="11">
        <f t="shared" si="1"/>
        <v>0</v>
      </c>
      <c r="H23" s="11">
        <f t="shared" si="2"/>
        <v>0</v>
      </c>
      <c r="I23" s="66"/>
      <c r="Q23">
        <f t="shared" si="3"/>
        <v>0</v>
      </c>
    </row>
    <row r="24" spans="1:17" ht="12.75">
      <c r="A24" s="73"/>
      <c r="B24" s="65" t="s">
        <v>149</v>
      </c>
      <c r="C24" s="66"/>
      <c r="D24" s="63"/>
      <c r="E24" s="67"/>
      <c r="F24" s="30">
        <f t="shared" si="0"/>
        <v>0</v>
      </c>
      <c r="G24" s="11">
        <f t="shared" si="1"/>
        <v>0</v>
      </c>
      <c r="H24" s="11">
        <f t="shared" si="2"/>
        <v>0</v>
      </c>
      <c r="I24" s="66"/>
      <c r="Q24">
        <f t="shared" si="3"/>
        <v>0</v>
      </c>
    </row>
    <row r="25" spans="1:17" ht="12.75">
      <c r="A25" s="62"/>
      <c r="B25" s="65" t="s">
        <v>141</v>
      </c>
      <c r="C25" s="66"/>
      <c r="D25" s="63"/>
      <c r="E25" s="67"/>
      <c r="F25" s="30">
        <f t="shared" si="0"/>
        <v>0</v>
      </c>
      <c r="G25" s="11">
        <f t="shared" si="1"/>
        <v>0</v>
      </c>
      <c r="H25" s="11">
        <f t="shared" si="2"/>
        <v>0</v>
      </c>
      <c r="I25" s="66"/>
      <c r="Q25">
        <f t="shared" si="3"/>
        <v>0</v>
      </c>
    </row>
    <row r="26" spans="1:17" ht="12.75">
      <c r="A26" s="73"/>
      <c r="B26" s="65" t="s">
        <v>141</v>
      </c>
      <c r="C26" s="66"/>
      <c r="D26" s="63"/>
      <c r="E26" s="67"/>
      <c r="F26" s="30"/>
      <c r="G26" s="11">
        <f t="shared" si="1"/>
        <v>0</v>
      </c>
      <c r="H26" s="11">
        <f t="shared" si="2"/>
        <v>0</v>
      </c>
      <c r="I26" s="66"/>
      <c r="Q26">
        <f t="shared" si="3"/>
        <v>0</v>
      </c>
    </row>
    <row r="27" spans="1:17" ht="12.75">
      <c r="A27" s="62"/>
      <c r="B27" s="65" t="s">
        <v>43</v>
      </c>
      <c r="C27" s="66"/>
      <c r="D27" s="63"/>
      <c r="E27" s="67"/>
      <c r="F27" s="30">
        <f>IF(E27="+",C27,0)</f>
        <v>0</v>
      </c>
      <c r="G27" s="11">
        <f t="shared" si="1"/>
        <v>0</v>
      </c>
      <c r="H27" s="11">
        <f t="shared" si="2"/>
        <v>0</v>
      </c>
      <c r="I27" s="66"/>
      <c r="Q27">
        <f t="shared" si="3"/>
        <v>0</v>
      </c>
    </row>
    <row r="28" spans="1:17" ht="12.75">
      <c r="A28" s="130"/>
      <c r="B28" s="65" t="s">
        <v>135</v>
      </c>
      <c r="C28" s="66"/>
      <c r="D28" s="63"/>
      <c r="E28" s="67"/>
      <c r="F28" s="30">
        <f>IF(E28="+",C28,0)</f>
        <v>0</v>
      </c>
      <c r="G28" s="11">
        <f t="shared" si="1"/>
        <v>0</v>
      </c>
      <c r="H28" s="11">
        <f t="shared" si="2"/>
        <v>0</v>
      </c>
      <c r="I28" s="66"/>
      <c r="Q28">
        <f t="shared" si="3"/>
        <v>0</v>
      </c>
    </row>
    <row r="29" spans="1:17" ht="12.75">
      <c r="A29" s="62"/>
      <c r="B29" s="65" t="s">
        <v>119</v>
      </c>
      <c r="C29" s="66"/>
      <c r="D29" s="63"/>
      <c r="E29" s="67"/>
      <c r="F29" s="30">
        <f>IF(E29="+",C29,0)</f>
        <v>0</v>
      </c>
      <c r="G29" s="11">
        <f t="shared" si="1"/>
        <v>0</v>
      </c>
      <c r="H29" s="11">
        <f t="shared" si="2"/>
        <v>0</v>
      </c>
      <c r="I29" s="66"/>
      <c r="Q29">
        <f t="shared" si="3"/>
        <v>0</v>
      </c>
    </row>
    <row r="30" spans="1:17" ht="12.75">
      <c r="A30" s="130"/>
      <c r="B30" s="65" t="s">
        <v>56</v>
      </c>
      <c r="C30" s="66"/>
      <c r="D30" s="63"/>
      <c r="E30" s="67"/>
      <c r="F30" s="30"/>
      <c r="G30" s="11">
        <f t="shared" si="1"/>
        <v>0</v>
      </c>
      <c r="H30" s="11">
        <f t="shared" si="2"/>
        <v>0</v>
      </c>
      <c r="I30" s="66"/>
      <c r="Q30">
        <f t="shared" si="3"/>
        <v>0</v>
      </c>
    </row>
    <row r="31" spans="1:17" ht="12.75">
      <c r="A31" s="73"/>
      <c r="B31" s="65" t="s">
        <v>50</v>
      </c>
      <c r="C31" s="66"/>
      <c r="D31" s="63"/>
      <c r="E31" s="67"/>
      <c r="F31" s="30">
        <f>IF(E31="+",C31,0)</f>
        <v>0</v>
      </c>
      <c r="G31" s="11">
        <f t="shared" si="1"/>
        <v>0</v>
      </c>
      <c r="H31" s="11">
        <f t="shared" si="2"/>
        <v>0</v>
      </c>
      <c r="I31" s="66"/>
      <c r="Q31">
        <f t="shared" si="3"/>
        <v>0</v>
      </c>
    </row>
    <row r="32" spans="1:17" ht="12.75">
      <c r="A32" s="73"/>
      <c r="B32" s="65" t="s">
        <v>45</v>
      </c>
      <c r="C32" s="66"/>
      <c r="D32" s="63"/>
      <c r="E32" s="67"/>
      <c r="F32" s="30">
        <f>IF(E32="+",C32,0)</f>
        <v>0</v>
      </c>
      <c r="G32" s="11">
        <f t="shared" si="1"/>
        <v>0</v>
      </c>
      <c r="H32" s="11">
        <f t="shared" si="2"/>
        <v>0</v>
      </c>
      <c r="I32" s="66"/>
      <c r="Q32">
        <f t="shared" si="3"/>
        <v>0</v>
      </c>
    </row>
    <row r="33" spans="1:17" ht="12.75">
      <c r="A33" s="62"/>
      <c r="B33" s="65" t="s">
        <v>189</v>
      </c>
      <c r="C33" s="66"/>
      <c r="D33" s="63"/>
      <c r="E33" s="67"/>
      <c r="F33" s="30">
        <f>IF(E33="+",C33,0)</f>
        <v>0</v>
      </c>
      <c r="G33" s="11">
        <f t="shared" si="1"/>
        <v>0</v>
      </c>
      <c r="H33" s="11">
        <f t="shared" si="2"/>
        <v>0</v>
      </c>
      <c r="I33" s="66"/>
      <c r="Q33">
        <f t="shared" si="3"/>
        <v>0</v>
      </c>
    </row>
    <row r="34" spans="1:17" ht="12.75">
      <c r="A34" s="62"/>
      <c r="B34" s="65" t="s">
        <v>53</v>
      </c>
      <c r="C34" s="66"/>
      <c r="D34" s="63"/>
      <c r="E34" s="67"/>
      <c r="F34" s="30"/>
      <c r="G34" s="11">
        <f t="shared" si="1"/>
        <v>0</v>
      </c>
      <c r="H34" s="11">
        <f t="shared" si="2"/>
        <v>0</v>
      </c>
      <c r="I34" s="66"/>
      <c r="Q34">
        <f t="shared" si="3"/>
        <v>0</v>
      </c>
    </row>
    <row r="35" spans="1:17" ht="12.75">
      <c r="A35" s="62"/>
      <c r="B35" s="64" t="s">
        <v>53</v>
      </c>
      <c r="C35" s="66"/>
      <c r="D35" s="63"/>
      <c r="E35" s="67"/>
      <c r="F35" s="30"/>
      <c r="G35" s="11">
        <f aca="true" t="shared" si="4" ref="G35:G66">(IF($E35="+",(G$2-$A35),0))/30.41667</f>
        <v>0</v>
      </c>
      <c r="H35" s="11">
        <f aca="true" t="shared" si="5" ref="H35:H66">IF($E35="+",(H$2-$D35),0)</f>
        <v>0</v>
      </c>
      <c r="I35" s="66"/>
      <c r="Q35">
        <f t="shared" si="3"/>
        <v>0</v>
      </c>
    </row>
    <row r="36" spans="1:17" ht="12.75">
      <c r="A36" s="73"/>
      <c r="B36" s="64" t="s">
        <v>53</v>
      </c>
      <c r="C36" s="66"/>
      <c r="D36" s="63"/>
      <c r="E36" s="67"/>
      <c r="F36" s="30">
        <f aca="true" t="shared" si="6" ref="F36:F61">IF(E36="+",C36,0)</f>
        <v>0</v>
      </c>
      <c r="G36" s="11">
        <f t="shared" si="4"/>
        <v>0</v>
      </c>
      <c r="H36" s="11">
        <f t="shared" si="5"/>
        <v>0</v>
      </c>
      <c r="I36" s="66"/>
      <c r="Q36">
        <f t="shared" si="3"/>
        <v>0</v>
      </c>
    </row>
    <row r="37" spans="1:17" ht="12.75">
      <c r="A37" s="73"/>
      <c r="B37" s="65" t="s">
        <v>190</v>
      </c>
      <c r="C37" s="66"/>
      <c r="D37" s="63"/>
      <c r="E37" s="67"/>
      <c r="F37" s="30">
        <f t="shared" si="6"/>
        <v>0</v>
      </c>
      <c r="G37" s="11">
        <f t="shared" si="4"/>
        <v>0</v>
      </c>
      <c r="H37" s="11">
        <f t="shared" si="5"/>
        <v>0</v>
      </c>
      <c r="I37" s="66"/>
      <c r="Q37">
        <f t="shared" si="3"/>
        <v>0</v>
      </c>
    </row>
    <row r="38" spans="1:17" ht="12.75">
      <c r="A38" s="62"/>
      <c r="B38" s="65" t="s">
        <v>54</v>
      </c>
      <c r="C38" s="66"/>
      <c r="D38" s="63"/>
      <c r="E38" s="67"/>
      <c r="F38" s="30">
        <f t="shared" si="6"/>
        <v>0</v>
      </c>
      <c r="G38" s="11">
        <f t="shared" si="4"/>
        <v>0</v>
      </c>
      <c r="H38" s="11">
        <f t="shared" si="5"/>
        <v>0</v>
      </c>
      <c r="I38" s="66"/>
      <c r="Q38">
        <f t="shared" si="3"/>
        <v>0</v>
      </c>
    </row>
    <row r="39" spans="1:17" ht="12.75">
      <c r="A39" s="62"/>
      <c r="B39" s="65" t="s">
        <v>54</v>
      </c>
      <c r="C39" s="66"/>
      <c r="D39" s="63"/>
      <c r="E39" s="67"/>
      <c r="F39" s="30">
        <f t="shared" si="6"/>
        <v>0</v>
      </c>
      <c r="G39" s="11">
        <f t="shared" si="4"/>
        <v>0</v>
      </c>
      <c r="H39" s="11">
        <f t="shared" si="5"/>
        <v>0</v>
      </c>
      <c r="I39" s="66"/>
      <c r="Q39">
        <f t="shared" si="3"/>
        <v>0</v>
      </c>
    </row>
    <row r="40" spans="1:17" ht="12.75">
      <c r="A40" s="73"/>
      <c r="B40" s="65" t="s">
        <v>54</v>
      </c>
      <c r="C40" s="66"/>
      <c r="D40" s="63"/>
      <c r="E40" s="67"/>
      <c r="F40" s="30">
        <f t="shared" si="6"/>
        <v>0</v>
      </c>
      <c r="G40" s="11">
        <f t="shared" si="4"/>
        <v>0</v>
      </c>
      <c r="H40" s="11">
        <f t="shared" si="5"/>
        <v>0</v>
      </c>
      <c r="I40" s="66"/>
      <c r="Q40">
        <f t="shared" si="3"/>
        <v>0</v>
      </c>
    </row>
    <row r="41" spans="1:17" ht="12.75">
      <c r="A41" s="73"/>
      <c r="B41" s="65" t="s">
        <v>134</v>
      </c>
      <c r="C41" s="66"/>
      <c r="D41" s="63"/>
      <c r="E41" s="67"/>
      <c r="F41" s="30">
        <f t="shared" si="6"/>
        <v>0</v>
      </c>
      <c r="G41" s="11">
        <f t="shared" si="4"/>
        <v>0</v>
      </c>
      <c r="H41" s="11">
        <f t="shared" si="5"/>
        <v>0</v>
      </c>
      <c r="I41" s="66"/>
      <c r="Q41">
        <f t="shared" si="3"/>
        <v>0</v>
      </c>
    </row>
    <row r="42" spans="1:17" ht="12.75">
      <c r="A42" s="130"/>
      <c r="B42" s="65" t="s">
        <v>55</v>
      </c>
      <c r="C42" s="66"/>
      <c r="D42" s="63"/>
      <c r="E42" s="67"/>
      <c r="F42" s="30">
        <f t="shared" si="6"/>
        <v>0</v>
      </c>
      <c r="G42" s="11">
        <f t="shared" si="4"/>
        <v>0</v>
      </c>
      <c r="H42" s="11">
        <f t="shared" si="5"/>
        <v>0</v>
      </c>
      <c r="I42" s="66"/>
      <c r="Q42">
        <f t="shared" si="3"/>
        <v>0</v>
      </c>
    </row>
    <row r="43" spans="1:17" ht="12.75">
      <c r="A43" s="73"/>
      <c r="B43" s="65" t="s">
        <v>236</v>
      </c>
      <c r="C43" s="66"/>
      <c r="D43" s="63"/>
      <c r="E43" s="67"/>
      <c r="F43" s="30">
        <f t="shared" si="6"/>
        <v>0</v>
      </c>
      <c r="G43" s="11">
        <f t="shared" si="4"/>
        <v>0</v>
      </c>
      <c r="H43" s="11">
        <f t="shared" si="5"/>
        <v>0</v>
      </c>
      <c r="I43" s="90"/>
      <c r="Q43">
        <f t="shared" si="3"/>
        <v>0</v>
      </c>
    </row>
    <row r="44" spans="1:17" ht="12.75">
      <c r="A44" s="62"/>
      <c r="B44" s="65" t="s">
        <v>255</v>
      </c>
      <c r="C44" s="66"/>
      <c r="D44" s="63"/>
      <c r="E44" s="67"/>
      <c r="F44" s="30">
        <f t="shared" si="6"/>
        <v>0</v>
      </c>
      <c r="G44" s="11">
        <f t="shared" si="4"/>
        <v>0</v>
      </c>
      <c r="H44" s="11">
        <f t="shared" si="5"/>
        <v>0</v>
      </c>
      <c r="I44" s="66"/>
      <c r="Q44">
        <f t="shared" si="3"/>
        <v>0</v>
      </c>
    </row>
    <row r="45" spans="1:17" ht="12.75">
      <c r="A45" s="62"/>
      <c r="B45" s="65" t="s">
        <v>276</v>
      </c>
      <c r="C45" s="66"/>
      <c r="D45" s="63"/>
      <c r="E45" s="67"/>
      <c r="F45" s="30">
        <f t="shared" si="6"/>
        <v>0</v>
      </c>
      <c r="G45" s="11">
        <f t="shared" si="4"/>
        <v>0</v>
      </c>
      <c r="H45" s="11">
        <f t="shared" si="5"/>
        <v>0</v>
      </c>
      <c r="I45" s="66"/>
      <c r="Q45">
        <f t="shared" si="3"/>
        <v>0</v>
      </c>
    </row>
    <row r="46" spans="1:17" ht="12.75">
      <c r="A46" s="62"/>
      <c r="B46" s="65" t="s">
        <v>217</v>
      </c>
      <c r="C46" s="66"/>
      <c r="D46" s="63"/>
      <c r="E46" s="67"/>
      <c r="F46" s="30">
        <f t="shared" si="6"/>
        <v>0</v>
      </c>
      <c r="G46" s="11">
        <f t="shared" si="4"/>
        <v>0</v>
      </c>
      <c r="H46" s="11">
        <f t="shared" si="5"/>
        <v>0</v>
      </c>
      <c r="I46" s="66"/>
      <c r="Q46">
        <f t="shared" si="3"/>
        <v>0</v>
      </c>
    </row>
    <row r="47" spans="1:17" ht="12.75">
      <c r="A47" s="62"/>
      <c r="B47" s="65" t="s">
        <v>64</v>
      </c>
      <c r="C47" s="66"/>
      <c r="D47" s="63"/>
      <c r="E47" s="67"/>
      <c r="F47" s="30">
        <f t="shared" si="6"/>
        <v>0</v>
      </c>
      <c r="G47" s="11">
        <f t="shared" si="4"/>
        <v>0</v>
      </c>
      <c r="H47" s="11">
        <f t="shared" si="5"/>
        <v>0</v>
      </c>
      <c r="I47" s="66"/>
      <c r="Q47">
        <f t="shared" si="3"/>
        <v>0</v>
      </c>
    </row>
    <row r="48" spans="1:17" ht="12.75">
      <c r="A48" s="73"/>
      <c r="B48" s="65" t="s">
        <v>64</v>
      </c>
      <c r="C48" s="66"/>
      <c r="D48" s="63"/>
      <c r="E48" s="67"/>
      <c r="F48" s="30">
        <f t="shared" si="6"/>
        <v>0</v>
      </c>
      <c r="G48" s="11">
        <f t="shared" si="4"/>
        <v>0</v>
      </c>
      <c r="H48" s="11">
        <f t="shared" si="5"/>
        <v>0</v>
      </c>
      <c r="I48" s="66"/>
      <c r="Q48">
        <f t="shared" si="3"/>
        <v>0</v>
      </c>
    </row>
    <row r="49" spans="1:17" ht="12.75">
      <c r="A49" s="73"/>
      <c r="B49" s="65" t="s">
        <v>58</v>
      </c>
      <c r="C49" s="66"/>
      <c r="D49" s="63"/>
      <c r="E49" s="67"/>
      <c r="F49" s="30">
        <f t="shared" si="6"/>
        <v>0</v>
      </c>
      <c r="G49" s="11">
        <f t="shared" si="4"/>
        <v>0</v>
      </c>
      <c r="H49" s="11">
        <f t="shared" si="5"/>
        <v>0</v>
      </c>
      <c r="I49" s="66"/>
      <c r="Q49">
        <f t="shared" si="3"/>
        <v>0</v>
      </c>
    </row>
    <row r="50" spans="1:17" ht="12.75">
      <c r="A50" s="62"/>
      <c r="B50" s="65" t="s">
        <v>63</v>
      </c>
      <c r="C50" s="66"/>
      <c r="D50" s="63"/>
      <c r="E50" s="67"/>
      <c r="F50" s="30">
        <f t="shared" si="6"/>
        <v>0</v>
      </c>
      <c r="G50" s="11">
        <f t="shared" si="4"/>
        <v>0</v>
      </c>
      <c r="H50" s="11">
        <f t="shared" si="5"/>
        <v>0</v>
      </c>
      <c r="I50" s="66"/>
      <c r="Q50">
        <f t="shared" si="3"/>
        <v>0</v>
      </c>
    </row>
    <row r="51" spans="1:17" ht="12.75">
      <c r="A51" s="73"/>
      <c r="B51" s="65" t="s">
        <v>63</v>
      </c>
      <c r="C51" s="66"/>
      <c r="D51" s="63"/>
      <c r="E51" s="67"/>
      <c r="F51" s="30">
        <f t="shared" si="6"/>
        <v>0</v>
      </c>
      <c r="G51" s="11">
        <f t="shared" si="4"/>
        <v>0</v>
      </c>
      <c r="H51" s="11">
        <f t="shared" si="5"/>
        <v>0</v>
      </c>
      <c r="I51" s="66"/>
      <c r="Q51">
        <f t="shared" si="3"/>
        <v>0</v>
      </c>
    </row>
    <row r="52" spans="1:17" ht="12.75">
      <c r="A52" s="62"/>
      <c r="B52" s="65" t="s">
        <v>59</v>
      </c>
      <c r="C52" s="66"/>
      <c r="D52" s="63"/>
      <c r="E52" s="67"/>
      <c r="F52" s="30">
        <f t="shared" si="6"/>
        <v>0</v>
      </c>
      <c r="G52" s="11">
        <f t="shared" si="4"/>
        <v>0</v>
      </c>
      <c r="H52" s="11">
        <f t="shared" si="5"/>
        <v>0</v>
      </c>
      <c r="I52" s="66"/>
      <c r="Q52">
        <f t="shared" si="3"/>
        <v>0</v>
      </c>
    </row>
    <row r="53" spans="1:17" ht="12.75">
      <c r="A53" s="73"/>
      <c r="B53" s="65" t="s">
        <v>59</v>
      </c>
      <c r="C53" s="66"/>
      <c r="D53" s="63"/>
      <c r="E53" s="67"/>
      <c r="F53" s="30">
        <f t="shared" si="6"/>
        <v>0</v>
      </c>
      <c r="G53" s="11">
        <f t="shared" si="4"/>
        <v>0</v>
      </c>
      <c r="H53" s="11">
        <f t="shared" si="5"/>
        <v>0</v>
      </c>
      <c r="I53" s="66"/>
      <c r="Q53">
        <f aca="true" t="shared" si="7" ref="Q53:Q88">IF(A53="",0,CONCATENATE(TEXT(YEAR(A53),0),TEXT(MONTH(A53),0)))</f>
        <v>0</v>
      </c>
    </row>
    <row r="54" spans="1:17" ht="12.75">
      <c r="A54" s="62"/>
      <c r="B54" s="65" t="s">
        <v>66</v>
      </c>
      <c r="C54" s="66"/>
      <c r="D54" s="63"/>
      <c r="E54" s="67"/>
      <c r="F54" s="30">
        <f t="shared" si="6"/>
        <v>0</v>
      </c>
      <c r="G54" s="11">
        <f t="shared" si="4"/>
        <v>0</v>
      </c>
      <c r="H54" s="11">
        <f t="shared" si="5"/>
        <v>0</v>
      </c>
      <c r="I54" s="66"/>
      <c r="Q54">
        <f t="shared" si="7"/>
        <v>0</v>
      </c>
    </row>
    <row r="55" spans="1:17" ht="12.75">
      <c r="A55" s="62"/>
      <c r="B55" s="65" t="s">
        <v>66</v>
      </c>
      <c r="C55" s="66"/>
      <c r="D55" s="63"/>
      <c r="E55" s="67"/>
      <c r="F55" s="30">
        <f t="shared" si="6"/>
        <v>0</v>
      </c>
      <c r="G55" s="11">
        <f t="shared" si="4"/>
        <v>0</v>
      </c>
      <c r="H55" s="11">
        <f t="shared" si="5"/>
        <v>0</v>
      </c>
      <c r="I55" s="66"/>
      <c r="Q55">
        <f t="shared" si="7"/>
        <v>0</v>
      </c>
    </row>
    <row r="56" spans="1:17" ht="12.75">
      <c r="A56" s="62"/>
      <c r="B56" s="65" t="s">
        <v>62</v>
      </c>
      <c r="C56" s="66"/>
      <c r="D56" s="63"/>
      <c r="E56" s="67"/>
      <c r="F56" s="30">
        <f t="shared" si="6"/>
        <v>0</v>
      </c>
      <c r="G56" s="11">
        <f t="shared" si="4"/>
        <v>0</v>
      </c>
      <c r="H56" s="11">
        <f t="shared" si="5"/>
        <v>0</v>
      </c>
      <c r="I56" s="66"/>
      <c r="Q56">
        <f t="shared" si="7"/>
        <v>0</v>
      </c>
    </row>
    <row r="57" spans="1:17" ht="12.75">
      <c r="A57" s="73"/>
      <c r="B57" s="65" t="s">
        <v>62</v>
      </c>
      <c r="C57" s="66"/>
      <c r="D57" s="63"/>
      <c r="E57" s="67"/>
      <c r="F57" s="30">
        <f t="shared" si="6"/>
        <v>0</v>
      </c>
      <c r="G57" s="11">
        <f t="shared" si="4"/>
        <v>0</v>
      </c>
      <c r="H57" s="11">
        <f t="shared" si="5"/>
        <v>0</v>
      </c>
      <c r="I57" s="66"/>
      <c r="Q57">
        <f t="shared" si="7"/>
        <v>0</v>
      </c>
    </row>
    <row r="58" spans="1:17" ht="12.75">
      <c r="A58" s="62"/>
      <c r="B58" s="65" t="s">
        <v>60</v>
      </c>
      <c r="C58" s="66"/>
      <c r="D58" s="63"/>
      <c r="E58" s="67"/>
      <c r="F58" s="30">
        <f t="shared" si="6"/>
        <v>0</v>
      </c>
      <c r="G58" s="11">
        <f t="shared" si="4"/>
        <v>0</v>
      </c>
      <c r="H58" s="11">
        <f t="shared" si="5"/>
        <v>0</v>
      </c>
      <c r="I58" s="66"/>
      <c r="Q58">
        <f t="shared" si="7"/>
        <v>0</v>
      </c>
    </row>
    <row r="59" spans="1:17" ht="12.75">
      <c r="A59" s="73"/>
      <c r="B59" s="65" t="s">
        <v>60</v>
      </c>
      <c r="C59" s="66"/>
      <c r="D59" s="63"/>
      <c r="E59" s="67"/>
      <c r="F59" s="30">
        <f t="shared" si="6"/>
        <v>0</v>
      </c>
      <c r="G59" s="11">
        <f t="shared" si="4"/>
        <v>0</v>
      </c>
      <c r="H59" s="11">
        <f t="shared" si="5"/>
        <v>0</v>
      </c>
      <c r="I59" s="66"/>
      <c r="Q59">
        <f t="shared" si="7"/>
        <v>0</v>
      </c>
    </row>
    <row r="60" spans="1:17" ht="12.75">
      <c r="A60" s="73"/>
      <c r="B60" s="65" t="s">
        <v>140</v>
      </c>
      <c r="C60" s="66"/>
      <c r="D60" s="63"/>
      <c r="E60" s="67"/>
      <c r="F60" s="30">
        <f t="shared" si="6"/>
        <v>0</v>
      </c>
      <c r="G60" s="11">
        <f t="shared" si="4"/>
        <v>0</v>
      </c>
      <c r="H60" s="11">
        <f t="shared" si="5"/>
        <v>0</v>
      </c>
      <c r="I60" s="66"/>
      <c r="Q60">
        <f t="shared" si="7"/>
        <v>0</v>
      </c>
    </row>
    <row r="61" spans="1:17" ht="12.75">
      <c r="A61" s="73"/>
      <c r="B61" s="65" t="s">
        <v>61</v>
      </c>
      <c r="C61" s="66"/>
      <c r="D61" s="63"/>
      <c r="E61" s="67"/>
      <c r="F61" s="30">
        <f t="shared" si="6"/>
        <v>0</v>
      </c>
      <c r="G61" s="11">
        <f t="shared" si="4"/>
        <v>0</v>
      </c>
      <c r="H61" s="11">
        <f t="shared" si="5"/>
        <v>0</v>
      </c>
      <c r="I61" s="66"/>
      <c r="Q61">
        <f t="shared" si="7"/>
        <v>0</v>
      </c>
    </row>
    <row r="62" spans="1:17" ht="12.75">
      <c r="A62" s="62"/>
      <c r="B62" s="65" t="s">
        <v>267</v>
      </c>
      <c r="C62" s="66"/>
      <c r="D62" s="63"/>
      <c r="E62" s="67"/>
      <c r="F62" s="30"/>
      <c r="G62" s="11">
        <f t="shared" si="4"/>
        <v>0</v>
      </c>
      <c r="H62" s="11">
        <f t="shared" si="5"/>
        <v>0</v>
      </c>
      <c r="I62" s="66"/>
      <c r="Q62">
        <f t="shared" si="7"/>
        <v>0</v>
      </c>
    </row>
    <row r="63" spans="1:17" ht="12.75">
      <c r="A63" s="130"/>
      <c r="B63" s="65" t="s">
        <v>65</v>
      </c>
      <c r="C63" s="66"/>
      <c r="D63" s="63"/>
      <c r="E63" s="67"/>
      <c r="F63" s="30">
        <f aca="true" t="shared" si="8" ref="F63:F70">IF(E63="+",C63,0)</f>
        <v>0</v>
      </c>
      <c r="G63" s="11">
        <f t="shared" si="4"/>
        <v>0</v>
      </c>
      <c r="H63" s="11">
        <f t="shared" si="5"/>
        <v>0</v>
      </c>
      <c r="I63" s="66"/>
      <c r="Q63">
        <f t="shared" si="7"/>
        <v>0</v>
      </c>
    </row>
    <row r="64" spans="1:17" ht="12.75">
      <c r="A64" s="130"/>
      <c r="B64" s="65" t="s">
        <v>68</v>
      </c>
      <c r="C64" s="66"/>
      <c r="D64" s="63"/>
      <c r="E64" s="67"/>
      <c r="F64" s="30">
        <f t="shared" si="8"/>
        <v>0</v>
      </c>
      <c r="G64" s="11">
        <f t="shared" si="4"/>
        <v>0</v>
      </c>
      <c r="H64" s="11">
        <f t="shared" si="5"/>
        <v>0</v>
      </c>
      <c r="I64" s="66"/>
      <c r="Q64">
        <f t="shared" si="7"/>
        <v>0</v>
      </c>
    </row>
    <row r="65" spans="1:17" ht="12.75">
      <c r="A65" s="62"/>
      <c r="B65" s="65" t="s">
        <v>235</v>
      </c>
      <c r="C65" s="66"/>
      <c r="D65" s="63"/>
      <c r="E65" s="67"/>
      <c r="F65" s="30">
        <f t="shared" si="8"/>
        <v>0</v>
      </c>
      <c r="G65" s="11">
        <f t="shared" si="4"/>
        <v>0</v>
      </c>
      <c r="H65" s="11">
        <f t="shared" si="5"/>
        <v>0</v>
      </c>
      <c r="I65" s="66"/>
      <c r="Q65">
        <f t="shared" si="7"/>
        <v>0</v>
      </c>
    </row>
    <row r="66" spans="1:17" ht="12.75">
      <c r="A66" s="62"/>
      <c r="B66" s="65" t="s">
        <v>67</v>
      </c>
      <c r="C66" s="66"/>
      <c r="D66" s="63"/>
      <c r="E66" s="67"/>
      <c r="F66" s="30">
        <f t="shared" si="8"/>
        <v>0</v>
      </c>
      <c r="G66" s="11">
        <f t="shared" si="4"/>
        <v>0</v>
      </c>
      <c r="H66" s="11">
        <f t="shared" si="5"/>
        <v>0</v>
      </c>
      <c r="I66" s="66"/>
      <c r="Q66">
        <f t="shared" si="7"/>
        <v>0</v>
      </c>
    </row>
    <row r="67" spans="1:17" ht="12.75">
      <c r="A67" s="62"/>
      <c r="B67" s="65" t="s">
        <v>67</v>
      </c>
      <c r="C67" s="66"/>
      <c r="D67" s="63"/>
      <c r="E67" s="67"/>
      <c r="F67" s="30">
        <f t="shared" si="8"/>
        <v>0</v>
      </c>
      <c r="G67" s="11">
        <f aca="true" t="shared" si="9" ref="G67:G97">(IF($E67="+",(G$2-$A67),0))/30.41667</f>
        <v>0</v>
      </c>
      <c r="H67" s="11">
        <f aca="true" t="shared" si="10" ref="H67:H97">IF($E67="+",(H$2-$D67),0)</f>
        <v>0</v>
      </c>
      <c r="I67" s="66"/>
      <c r="Q67">
        <f t="shared" si="7"/>
        <v>0</v>
      </c>
    </row>
    <row r="68" spans="1:17" ht="12.75">
      <c r="A68" s="62"/>
      <c r="B68" s="65" t="s">
        <v>67</v>
      </c>
      <c r="C68" s="66"/>
      <c r="D68" s="63"/>
      <c r="E68" s="67"/>
      <c r="F68" s="30">
        <f t="shared" si="8"/>
        <v>0</v>
      </c>
      <c r="G68" s="11">
        <f t="shared" si="9"/>
        <v>0</v>
      </c>
      <c r="H68" s="11">
        <f t="shared" si="10"/>
        <v>0</v>
      </c>
      <c r="I68" s="66"/>
      <c r="Q68">
        <f t="shared" si="7"/>
        <v>0</v>
      </c>
    </row>
    <row r="69" spans="1:17" ht="12.75">
      <c r="A69" s="62"/>
      <c r="B69" s="65" t="s">
        <v>139</v>
      </c>
      <c r="C69" s="66"/>
      <c r="D69" s="63"/>
      <c r="E69" s="67"/>
      <c r="F69" s="30">
        <f t="shared" si="8"/>
        <v>0</v>
      </c>
      <c r="G69" s="11">
        <f t="shared" si="9"/>
        <v>0</v>
      </c>
      <c r="H69" s="11">
        <f t="shared" si="10"/>
        <v>0</v>
      </c>
      <c r="I69" s="66"/>
      <c r="Q69">
        <f t="shared" si="7"/>
        <v>0</v>
      </c>
    </row>
    <row r="70" spans="1:17" ht="12.75">
      <c r="A70" s="62"/>
      <c r="B70" s="65" t="s">
        <v>139</v>
      </c>
      <c r="C70" s="66"/>
      <c r="D70" s="63"/>
      <c r="E70" s="67"/>
      <c r="F70" s="30">
        <f t="shared" si="8"/>
        <v>0</v>
      </c>
      <c r="G70" s="11">
        <f t="shared" si="9"/>
        <v>0</v>
      </c>
      <c r="H70" s="11">
        <f t="shared" si="10"/>
        <v>0</v>
      </c>
      <c r="I70" s="66"/>
      <c r="Q70">
        <f t="shared" si="7"/>
        <v>0</v>
      </c>
    </row>
    <row r="71" spans="1:17" ht="12.75">
      <c r="A71" s="62"/>
      <c r="B71" s="65" t="s">
        <v>229</v>
      </c>
      <c r="C71" s="66"/>
      <c r="D71" s="63"/>
      <c r="E71" s="67"/>
      <c r="F71" s="30"/>
      <c r="G71" s="11">
        <f t="shared" si="9"/>
        <v>0</v>
      </c>
      <c r="H71" s="11">
        <f t="shared" si="10"/>
        <v>0</v>
      </c>
      <c r="I71" s="66"/>
      <c r="Q71">
        <f t="shared" si="7"/>
        <v>0</v>
      </c>
    </row>
    <row r="72" spans="1:17" ht="12.75">
      <c r="A72" s="62"/>
      <c r="B72" s="65" t="s">
        <v>230</v>
      </c>
      <c r="C72" s="66"/>
      <c r="D72" s="63"/>
      <c r="E72" s="67"/>
      <c r="F72" s="30">
        <f aca="true" t="shared" si="11" ref="F72:F110">IF(E72="+",C72,0)</f>
        <v>0</v>
      </c>
      <c r="G72" s="11">
        <f t="shared" si="9"/>
        <v>0</v>
      </c>
      <c r="H72" s="11">
        <f t="shared" si="10"/>
        <v>0</v>
      </c>
      <c r="I72" s="66"/>
      <c r="Q72">
        <f t="shared" si="7"/>
        <v>0</v>
      </c>
    </row>
    <row r="73" spans="1:17" ht="12.75">
      <c r="A73" s="73"/>
      <c r="B73" s="65" t="s">
        <v>145</v>
      </c>
      <c r="C73" s="66"/>
      <c r="D73" s="63"/>
      <c r="E73" s="67"/>
      <c r="F73" s="30">
        <f t="shared" si="11"/>
        <v>0</v>
      </c>
      <c r="G73" s="11">
        <f t="shared" si="9"/>
        <v>0</v>
      </c>
      <c r="H73" s="11">
        <f t="shared" si="10"/>
        <v>0</v>
      </c>
      <c r="I73" s="90"/>
      <c r="Q73">
        <f t="shared" si="7"/>
        <v>0</v>
      </c>
    </row>
    <row r="74" spans="1:17" ht="12.75">
      <c r="A74" s="62"/>
      <c r="B74" s="65" t="s">
        <v>263</v>
      </c>
      <c r="C74" s="66"/>
      <c r="D74" s="63"/>
      <c r="E74" s="67"/>
      <c r="F74" s="30">
        <f t="shared" si="11"/>
        <v>0</v>
      </c>
      <c r="G74" s="11">
        <f t="shared" si="9"/>
        <v>0</v>
      </c>
      <c r="H74" s="11">
        <f t="shared" si="10"/>
        <v>0</v>
      </c>
      <c r="I74" s="66"/>
      <c r="Q74">
        <f t="shared" si="7"/>
        <v>0</v>
      </c>
    </row>
    <row r="75" spans="1:17" ht="12.75">
      <c r="A75" s="130"/>
      <c r="B75" s="65" t="s">
        <v>142</v>
      </c>
      <c r="C75" s="66"/>
      <c r="D75" s="63"/>
      <c r="E75" s="67"/>
      <c r="F75" s="30">
        <f t="shared" si="11"/>
        <v>0</v>
      </c>
      <c r="G75" s="11">
        <f t="shared" si="9"/>
        <v>0</v>
      </c>
      <c r="H75" s="11">
        <f t="shared" si="10"/>
        <v>0</v>
      </c>
      <c r="I75" s="66"/>
      <c r="Q75">
        <f t="shared" si="7"/>
        <v>0</v>
      </c>
    </row>
    <row r="76" spans="1:17" ht="12.75">
      <c r="A76" s="130"/>
      <c r="B76" s="65" t="s">
        <v>143</v>
      </c>
      <c r="C76" s="66"/>
      <c r="D76" s="63"/>
      <c r="E76" s="67"/>
      <c r="F76" s="30">
        <f t="shared" si="11"/>
        <v>0</v>
      </c>
      <c r="G76" s="11">
        <f t="shared" si="9"/>
        <v>0</v>
      </c>
      <c r="H76" s="11">
        <f t="shared" si="10"/>
        <v>0</v>
      </c>
      <c r="I76" s="66"/>
      <c r="Q76">
        <f t="shared" si="7"/>
        <v>0</v>
      </c>
    </row>
    <row r="77" spans="1:17" ht="12.75">
      <c r="A77" s="130"/>
      <c r="B77" s="65" t="s">
        <v>177</v>
      </c>
      <c r="C77" s="66"/>
      <c r="D77" s="63"/>
      <c r="E77" s="67"/>
      <c r="F77" s="30">
        <f t="shared" si="11"/>
        <v>0</v>
      </c>
      <c r="G77" s="11">
        <f t="shared" si="9"/>
        <v>0</v>
      </c>
      <c r="H77" s="11">
        <f t="shared" si="10"/>
        <v>0</v>
      </c>
      <c r="I77" s="66"/>
      <c r="Q77">
        <f t="shared" si="7"/>
        <v>0</v>
      </c>
    </row>
    <row r="78" spans="1:17" ht="12.75">
      <c r="A78" s="130"/>
      <c r="B78" s="65" t="s">
        <v>46</v>
      </c>
      <c r="C78" s="66"/>
      <c r="D78" s="63"/>
      <c r="E78" s="67"/>
      <c r="F78" s="30">
        <f t="shared" si="11"/>
        <v>0</v>
      </c>
      <c r="G78" s="11">
        <f t="shared" si="9"/>
        <v>0</v>
      </c>
      <c r="H78" s="11">
        <f t="shared" si="10"/>
        <v>0</v>
      </c>
      <c r="I78" s="66"/>
      <c r="Q78">
        <f t="shared" si="7"/>
        <v>0</v>
      </c>
    </row>
    <row r="79" spans="1:17" ht="12.75">
      <c r="A79" s="62"/>
      <c r="B79" s="65" t="s">
        <v>216</v>
      </c>
      <c r="C79" s="66"/>
      <c r="D79" s="63"/>
      <c r="E79" s="67"/>
      <c r="F79" s="30">
        <f t="shared" si="11"/>
        <v>0</v>
      </c>
      <c r="G79" s="11">
        <f t="shared" si="9"/>
        <v>0</v>
      </c>
      <c r="H79" s="11">
        <f t="shared" si="10"/>
        <v>0</v>
      </c>
      <c r="I79" s="66"/>
      <c r="Q79">
        <f t="shared" si="7"/>
        <v>0</v>
      </c>
    </row>
    <row r="80" spans="1:17" ht="12.75">
      <c r="A80" s="62"/>
      <c r="B80" s="65"/>
      <c r="C80" s="66"/>
      <c r="D80" s="63"/>
      <c r="E80" s="67"/>
      <c r="F80" s="30">
        <f t="shared" si="11"/>
        <v>0</v>
      </c>
      <c r="G80" s="11">
        <f t="shared" si="9"/>
        <v>0</v>
      </c>
      <c r="H80" s="11">
        <f t="shared" si="10"/>
        <v>0</v>
      </c>
      <c r="I80" s="66"/>
      <c r="Q80">
        <f t="shared" si="7"/>
        <v>0</v>
      </c>
    </row>
    <row r="81" spans="1:17" ht="12.75">
      <c r="A81" s="62"/>
      <c r="B81" s="65"/>
      <c r="C81" s="66"/>
      <c r="D81" s="63"/>
      <c r="E81" s="67"/>
      <c r="F81" s="30">
        <f t="shared" si="11"/>
        <v>0</v>
      </c>
      <c r="G81" s="11">
        <f t="shared" si="9"/>
        <v>0</v>
      </c>
      <c r="H81" s="11">
        <f t="shared" si="10"/>
        <v>0</v>
      </c>
      <c r="I81" s="66"/>
      <c r="Q81">
        <f t="shared" si="7"/>
        <v>0</v>
      </c>
    </row>
    <row r="82" spans="1:17" ht="12.75">
      <c r="A82" s="62"/>
      <c r="B82" s="65"/>
      <c r="C82" s="66"/>
      <c r="D82" s="63"/>
      <c r="E82" s="67"/>
      <c r="F82" s="30">
        <f t="shared" si="11"/>
        <v>0</v>
      </c>
      <c r="G82" s="11">
        <f t="shared" si="9"/>
        <v>0</v>
      </c>
      <c r="H82" s="11">
        <f t="shared" si="10"/>
        <v>0</v>
      </c>
      <c r="I82" s="66"/>
      <c r="Q82">
        <f t="shared" si="7"/>
        <v>0</v>
      </c>
    </row>
    <row r="83" spans="1:17" ht="12.75">
      <c r="A83" s="62"/>
      <c r="B83" s="65"/>
      <c r="C83" s="66"/>
      <c r="D83" s="63"/>
      <c r="E83" s="67"/>
      <c r="F83" s="30">
        <f t="shared" si="11"/>
        <v>0</v>
      </c>
      <c r="G83" s="11">
        <f t="shared" si="9"/>
        <v>0</v>
      </c>
      <c r="H83" s="11">
        <f t="shared" si="10"/>
        <v>0</v>
      </c>
      <c r="I83" s="66"/>
      <c r="Q83">
        <f t="shared" si="7"/>
        <v>0</v>
      </c>
    </row>
    <row r="84" spans="1:17" ht="12.75">
      <c r="A84" s="62"/>
      <c r="B84" s="65"/>
      <c r="C84" s="66"/>
      <c r="D84" s="63"/>
      <c r="E84" s="67"/>
      <c r="F84" s="30">
        <f t="shared" si="11"/>
        <v>0</v>
      </c>
      <c r="G84" s="11">
        <f t="shared" si="9"/>
        <v>0</v>
      </c>
      <c r="H84" s="11">
        <f t="shared" si="10"/>
        <v>0</v>
      </c>
      <c r="I84" s="66"/>
      <c r="Q84">
        <f t="shared" si="7"/>
        <v>0</v>
      </c>
    </row>
    <row r="85" spans="1:17" ht="12.75">
      <c r="A85" s="62"/>
      <c r="B85" s="65"/>
      <c r="C85" s="66"/>
      <c r="D85" s="63"/>
      <c r="E85" s="67"/>
      <c r="F85" s="30">
        <f t="shared" si="11"/>
        <v>0</v>
      </c>
      <c r="G85" s="11">
        <f t="shared" si="9"/>
        <v>0</v>
      </c>
      <c r="H85" s="11">
        <f t="shared" si="10"/>
        <v>0</v>
      </c>
      <c r="I85" s="66"/>
      <c r="Q85">
        <f t="shared" si="7"/>
        <v>0</v>
      </c>
    </row>
    <row r="86" spans="1:17" ht="12.75">
      <c r="A86" s="62"/>
      <c r="B86" s="65"/>
      <c r="C86" s="66"/>
      <c r="D86" s="63"/>
      <c r="E86" s="67"/>
      <c r="F86" s="30">
        <f t="shared" si="11"/>
        <v>0</v>
      </c>
      <c r="G86" s="11">
        <f t="shared" si="9"/>
        <v>0</v>
      </c>
      <c r="H86" s="11">
        <f t="shared" si="10"/>
        <v>0</v>
      </c>
      <c r="I86" s="66"/>
      <c r="Q86">
        <f t="shared" si="7"/>
        <v>0</v>
      </c>
    </row>
    <row r="87" spans="1:17" ht="12.75">
      <c r="A87" s="62"/>
      <c r="B87" s="65"/>
      <c r="C87" s="66"/>
      <c r="D87" s="63"/>
      <c r="E87" s="67"/>
      <c r="F87" s="30">
        <f t="shared" si="11"/>
        <v>0</v>
      </c>
      <c r="G87" s="11">
        <f t="shared" si="9"/>
        <v>0</v>
      </c>
      <c r="H87" s="11">
        <f t="shared" si="10"/>
        <v>0</v>
      </c>
      <c r="I87" s="66"/>
      <c r="Q87">
        <f t="shared" si="7"/>
        <v>0</v>
      </c>
    </row>
    <row r="88" spans="1:17" ht="12.75">
      <c r="A88" s="62"/>
      <c r="B88" s="65"/>
      <c r="C88" s="66"/>
      <c r="D88" s="63"/>
      <c r="E88" s="67"/>
      <c r="F88" s="30">
        <f t="shared" si="11"/>
        <v>0</v>
      </c>
      <c r="G88" s="11">
        <f t="shared" si="9"/>
        <v>0</v>
      </c>
      <c r="H88" s="11">
        <f t="shared" si="10"/>
        <v>0</v>
      </c>
      <c r="I88" s="66"/>
      <c r="Q88">
        <f t="shared" si="7"/>
        <v>0</v>
      </c>
    </row>
    <row r="89" spans="1:9" ht="12.75">
      <c r="A89" s="62"/>
      <c r="B89" s="65"/>
      <c r="C89" s="66"/>
      <c r="D89" s="63"/>
      <c r="E89" s="67"/>
      <c r="F89" s="30">
        <f t="shared" si="11"/>
        <v>0</v>
      </c>
      <c r="G89" s="11">
        <f t="shared" si="9"/>
        <v>0</v>
      </c>
      <c r="H89" s="11">
        <f t="shared" si="10"/>
        <v>0</v>
      </c>
      <c r="I89" s="66"/>
    </row>
    <row r="90" spans="1:17" ht="12.75">
      <c r="A90" s="62"/>
      <c r="B90" s="65"/>
      <c r="C90" s="66"/>
      <c r="D90" s="63"/>
      <c r="E90" s="67"/>
      <c r="F90" s="30">
        <f t="shared" si="11"/>
        <v>0</v>
      </c>
      <c r="G90" s="11">
        <f t="shared" si="9"/>
        <v>0</v>
      </c>
      <c r="H90" s="11">
        <f t="shared" si="10"/>
        <v>0</v>
      </c>
      <c r="I90" s="66"/>
      <c r="Q90">
        <f aca="true" t="shared" si="12" ref="Q90:Q97">IF(A90="",0,CONCATENATE(TEXT(YEAR(A90),0),TEXT(MONTH(A90),0)))</f>
        <v>0</v>
      </c>
    </row>
    <row r="91" spans="1:17" ht="12.75">
      <c r="A91" s="62"/>
      <c r="B91" s="65"/>
      <c r="C91" s="66"/>
      <c r="D91" s="63"/>
      <c r="E91" s="67"/>
      <c r="F91" s="30">
        <f t="shared" si="11"/>
        <v>0</v>
      </c>
      <c r="G91" s="11">
        <f t="shared" si="9"/>
        <v>0</v>
      </c>
      <c r="H91" s="11">
        <f t="shared" si="10"/>
        <v>0</v>
      </c>
      <c r="I91" s="66"/>
      <c r="Q91">
        <f t="shared" si="12"/>
        <v>0</v>
      </c>
    </row>
    <row r="92" spans="1:17" ht="12.75">
      <c r="A92" s="62"/>
      <c r="B92" s="65"/>
      <c r="C92" s="66"/>
      <c r="D92" s="63"/>
      <c r="E92" s="67"/>
      <c r="F92" s="30">
        <f t="shared" si="11"/>
        <v>0</v>
      </c>
      <c r="G92" s="11">
        <f t="shared" si="9"/>
        <v>0</v>
      </c>
      <c r="H92" s="11">
        <f t="shared" si="10"/>
        <v>0</v>
      </c>
      <c r="I92" s="66"/>
      <c r="Q92">
        <f t="shared" si="12"/>
        <v>0</v>
      </c>
    </row>
    <row r="93" spans="1:17" ht="12.75">
      <c r="A93" s="62"/>
      <c r="B93" s="65"/>
      <c r="C93" s="66"/>
      <c r="D93" s="63"/>
      <c r="E93" s="67"/>
      <c r="F93" s="30">
        <f t="shared" si="11"/>
        <v>0</v>
      </c>
      <c r="G93" s="11">
        <f t="shared" si="9"/>
        <v>0</v>
      </c>
      <c r="H93" s="11">
        <f t="shared" si="10"/>
        <v>0</v>
      </c>
      <c r="I93" s="66"/>
      <c r="Q93">
        <f t="shared" si="12"/>
        <v>0</v>
      </c>
    </row>
    <row r="94" spans="1:17" ht="12.75">
      <c r="A94" s="62"/>
      <c r="B94" s="65"/>
      <c r="C94" s="66"/>
      <c r="D94" s="63"/>
      <c r="E94" s="67"/>
      <c r="F94" s="30">
        <f t="shared" si="11"/>
        <v>0</v>
      </c>
      <c r="G94" s="11">
        <f t="shared" si="9"/>
        <v>0</v>
      </c>
      <c r="H94" s="11">
        <f t="shared" si="10"/>
        <v>0</v>
      </c>
      <c r="I94" s="66"/>
      <c r="Q94">
        <f t="shared" si="12"/>
        <v>0</v>
      </c>
    </row>
    <row r="95" spans="1:17" ht="12.75">
      <c r="A95" s="62"/>
      <c r="B95" s="65"/>
      <c r="C95" s="66"/>
      <c r="D95" s="63"/>
      <c r="E95" s="67"/>
      <c r="F95" s="30">
        <f t="shared" si="11"/>
        <v>0</v>
      </c>
      <c r="G95" s="11">
        <f t="shared" si="9"/>
        <v>0</v>
      </c>
      <c r="H95" s="11">
        <f t="shared" si="10"/>
        <v>0</v>
      </c>
      <c r="I95" s="66"/>
      <c r="Q95">
        <f t="shared" si="12"/>
        <v>0</v>
      </c>
    </row>
    <row r="96" spans="1:17" ht="12.75">
      <c r="A96" s="62"/>
      <c r="B96" s="65"/>
      <c r="C96" s="66"/>
      <c r="D96" s="63"/>
      <c r="E96" s="67"/>
      <c r="F96" s="30">
        <f t="shared" si="11"/>
        <v>0</v>
      </c>
      <c r="G96" s="11">
        <f t="shared" si="9"/>
        <v>0</v>
      </c>
      <c r="H96" s="11">
        <f t="shared" si="10"/>
        <v>0</v>
      </c>
      <c r="I96" s="66"/>
      <c r="Q96">
        <f t="shared" si="12"/>
        <v>0</v>
      </c>
    </row>
    <row r="97" spans="1:17" ht="12.75">
      <c r="A97" s="62"/>
      <c r="B97" s="65"/>
      <c r="C97" s="66"/>
      <c r="D97" s="63"/>
      <c r="E97" s="67"/>
      <c r="F97" s="30">
        <f t="shared" si="11"/>
        <v>0</v>
      </c>
      <c r="G97" s="11">
        <f t="shared" si="9"/>
        <v>0</v>
      </c>
      <c r="H97" s="11">
        <f t="shared" si="10"/>
        <v>0</v>
      </c>
      <c r="I97" s="66"/>
      <c r="Q97">
        <f t="shared" si="12"/>
        <v>0</v>
      </c>
    </row>
    <row r="98" spans="1:9" ht="12.75">
      <c r="A98" s="62"/>
      <c r="B98" s="65"/>
      <c r="C98" s="66"/>
      <c r="D98" s="63"/>
      <c r="E98" s="67"/>
      <c r="F98" s="30">
        <f t="shared" si="11"/>
        <v>0</v>
      </c>
      <c r="G98" s="11"/>
      <c r="H98" s="11"/>
      <c r="I98" s="66"/>
    </row>
    <row r="99" spans="1:17" ht="12.75">
      <c r="A99" s="62"/>
      <c r="B99" s="65"/>
      <c r="C99" s="66"/>
      <c r="D99" s="63"/>
      <c r="E99" s="67"/>
      <c r="F99" s="30">
        <f t="shared" si="11"/>
        <v>0</v>
      </c>
      <c r="G99" s="11">
        <f aca="true" t="shared" si="13" ref="G99:G130">(IF($E99="+",(G$2-$A99),0))/30.41667</f>
        <v>0</v>
      </c>
      <c r="H99" s="11">
        <f aca="true" t="shared" si="14" ref="H99:H130">IF($E99="+",(H$2-$D99),0)</f>
        <v>0</v>
      </c>
      <c r="I99" s="66"/>
      <c r="Q99">
        <f aca="true" t="shared" si="15" ref="Q99:Q130">IF(A99="",0,CONCATENATE(TEXT(YEAR(A99),0),TEXT(MONTH(A99),0)))</f>
        <v>0</v>
      </c>
    </row>
    <row r="100" spans="1:17" ht="12.75">
      <c r="A100" s="62"/>
      <c r="B100" s="65"/>
      <c r="C100" s="66"/>
      <c r="D100" s="63"/>
      <c r="E100" s="67"/>
      <c r="F100" s="30">
        <f t="shared" si="11"/>
        <v>0</v>
      </c>
      <c r="G100" s="11">
        <f t="shared" si="13"/>
        <v>0</v>
      </c>
      <c r="H100" s="11">
        <f t="shared" si="14"/>
        <v>0</v>
      </c>
      <c r="I100" s="66"/>
      <c r="Q100">
        <f t="shared" si="15"/>
        <v>0</v>
      </c>
    </row>
    <row r="101" spans="1:17" ht="12.75">
      <c r="A101" s="62"/>
      <c r="B101" s="65"/>
      <c r="C101" s="66"/>
      <c r="D101" s="63"/>
      <c r="E101" s="67"/>
      <c r="F101" s="30">
        <f t="shared" si="11"/>
        <v>0</v>
      </c>
      <c r="G101" s="11">
        <f t="shared" si="13"/>
        <v>0</v>
      </c>
      <c r="H101" s="11">
        <f t="shared" si="14"/>
        <v>0</v>
      </c>
      <c r="I101" s="66"/>
      <c r="Q101">
        <f t="shared" si="15"/>
        <v>0</v>
      </c>
    </row>
    <row r="102" spans="1:17" ht="12.75">
      <c r="A102" s="62"/>
      <c r="B102" s="65"/>
      <c r="C102" s="66"/>
      <c r="D102" s="63"/>
      <c r="E102" s="67"/>
      <c r="F102" s="30">
        <f t="shared" si="11"/>
        <v>0</v>
      </c>
      <c r="G102" s="11">
        <f t="shared" si="13"/>
        <v>0</v>
      </c>
      <c r="H102" s="11">
        <f t="shared" si="14"/>
        <v>0</v>
      </c>
      <c r="I102" s="66"/>
      <c r="Q102">
        <f t="shared" si="15"/>
        <v>0</v>
      </c>
    </row>
    <row r="103" spans="1:17" ht="12.75">
      <c r="A103" s="62"/>
      <c r="B103" s="65"/>
      <c r="C103" s="66"/>
      <c r="D103" s="63"/>
      <c r="E103" s="67"/>
      <c r="F103" s="30">
        <f t="shared" si="11"/>
        <v>0</v>
      </c>
      <c r="G103" s="11">
        <f t="shared" si="13"/>
        <v>0</v>
      </c>
      <c r="H103" s="11">
        <f t="shared" si="14"/>
        <v>0</v>
      </c>
      <c r="I103" s="66"/>
      <c r="Q103">
        <f t="shared" si="15"/>
        <v>0</v>
      </c>
    </row>
    <row r="104" spans="1:17" ht="12.75">
      <c r="A104" s="62"/>
      <c r="B104" s="65"/>
      <c r="C104" s="66"/>
      <c r="D104" s="63"/>
      <c r="E104" s="67"/>
      <c r="F104" s="30">
        <f t="shared" si="11"/>
        <v>0</v>
      </c>
      <c r="G104" s="11">
        <f t="shared" si="13"/>
        <v>0</v>
      </c>
      <c r="H104" s="11">
        <f t="shared" si="14"/>
        <v>0</v>
      </c>
      <c r="I104" s="66"/>
      <c r="Q104">
        <f t="shared" si="15"/>
        <v>0</v>
      </c>
    </row>
    <row r="105" spans="1:17" ht="12.75">
      <c r="A105" s="62"/>
      <c r="B105" s="65"/>
      <c r="C105" s="66"/>
      <c r="D105" s="63"/>
      <c r="E105" s="67"/>
      <c r="F105" s="30">
        <f t="shared" si="11"/>
        <v>0</v>
      </c>
      <c r="G105" s="11">
        <f t="shared" si="13"/>
        <v>0</v>
      </c>
      <c r="H105" s="11">
        <f t="shared" si="14"/>
        <v>0</v>
      </c>
      <c r="I105" s="66"/>
      <c r="Q105">
        <f t="shared" si="15"/>
        <v>0</v>
      </c>
    </row>
    <row r="106" spans="1:17" ht="12.75">
      <c r="A106" s="62"/>
      <c r="B106" s="65"/>
      <c r="C106" s="66"/>
      <c r="D106" s="63"/>
      <c r="E106" s="67"/>
      <c r="F106" s="30">
        <f t="shared" si="11"/>
        <v>0</v>
      </c>
      <c r="G106" s="11">
        <f t="shared" si="13"/>
        <v>0</v>
      </c>
      <c r="H106" s="11">
        <f t="shared" si="14"/>
        <v>0</v>
      </c>
      <c r="I106" s="66"/>
      <c r="Q106">
        <f t="shared" si="15"/>
        <v>0</v>
      </c>
    </row>
    <row r="107" spans="1:17" ht="12.75">
      <c r="A107" s="62"/>
      <c r="B107" s="65"/>
      <c r="C107" s="66"/>
      <c r="D107" s="63"/>
      <c r="E107" s="67"/>
      <c r="F107" s="30">
        <f t="shared" si="11"/>
        <v>0</v>
      </c>
      <c r="G107" s="11">
        <f t="shared" si="13"/>
        <v>0</v>
      </c>
      <c r="H107" s="11">
        <f t="shared" si="14"/>
        <v>0</v>
      </c>
      <c r="I107" s="66"/>
      <c r="Q107">
        <f t="shared" si="15"/>
        <v>0</v>
      </c>
    </row>
    <row r="108" spans="1:17" ht="12.75">
      <c r="A108" s="62"/>
      <c r="B108" s="65"/>
      <c r="C108" s="66"/>
      <c r="D108" s="63"/>
      <c r="E108" s="67"/>
      <c r="F108" s="30">
        <f t="shared" si="11"/>
        <v>0</v>
      </c>
      <c r="G108" s="11">
        <f t="shared" si="13"/>
        <v>0</v>
      </c>
      <c r="H108" s="11">
        <f t="shared" si="14"/>
        <v>0</v>
      </c>
      <c r="I108" s="66"/>
      <c r="Q108">
        <f t="shared" si="15"/>
        <v>0</v>
      </c>
    </row>
    <row r="109" spans="1:17" ht="12.75">
      <c r="A109" s="62"/>
      <c r="B109" s="65"/>
      <c r="C109" s="66"/>
      <c r="D109" s="63"/>
      <c r="E109" s="67"/>
      <c r="F109" s="30">
        <f t="shared" si="11"/>
        <v>0</v>
      </c>
      <c r="G109" s="11">
        <f t="shared" si="13"/>
        <v>0</v>
      </c>
      <c r="H109" s="11">
        <f t="shared" si="14"/>
        <v>0</v>
      </c>
      <c r="I109" s="66"/>
      <c r="Q109">
        <f t="shared" si="15"/>
        <v>0</v>
      </c>
    </row>
    <row r="110" spans="1:17" ht="12.75">
      <c r="A110" s="62"/>
      <c r="B110" s="65"/>
      <c r="C110" s="66"/>
      <c r="D110" s="63"/>
      <c r="E110" s="67"/>
      <c r="F110" s="30">
        <f t="shared" si="11"/>
        <v>0</v>
      </c>
      <c r="G110" s="11">
        <f t="shared" si="13"/>
        <v>0</v>
      </c>
      <c r="H110" s="11">
        <f t="shared" si="14"/>
        <v>0</v>
      </c>
      <c r="I110" s="66"/>
      <c r="Q110">
        <f t="shared" si="15"/>
        <v>0</v>
      </c>
    </row>
    <row r="111" spans="1:17" ht="12.75">
      <c r="A111" s="62"/>
      <c r="B111" s="65"/>
      <c r="C111" s="66"/>
      <c r="D111" s="63"/>
      <c r="E111" s="67"/>
      <c r="F111" s="30"/>
      <c r="G111" s="11">
        <f t="shared" si="13"/>
        <v>0</v>
      </c>
      <c r="H111" s="11">
        <f t="shared" si="14"/>
        <v>0</v>
      </c>
      <c r="I111" s="66"/>
      <c r="Q111">
        <f t="shared" si="15"/>
        <v>0</v>
      </c>
    </row>
    <row r="112" spans="1:17" ht="12.75">
      <c r="A112" s="62"/>
      <c r="B112" s="65"/>
      <c r="C112" s="66"/>
      <c r="D112" s="63"/>
      <c r="E112" s="67"/>
      <c r="F112" s="30"/>
      <c r="G112" s="11">
        <f t="shared" si="13"/>
        <v>0</v>
      </c>
      <c r="H112" s="11">
        <f t="shared" si="14"/>
        <v>0</v>
      </c>
      <c r="I112" s="66"/>
      <c r="Q112">
        <f t="shared" si="15"/>
        <v>0</v>
      </c>
    </row>
    <row r="113" spans="1:17" ht="12.75">
      <c r="A113" s="62"/>
      <c r="B113" s="65"/>
      <c r="C113" s="66"/>
      <c r="D113" s="63"/>
      <c r="E113" s="67"/>
      <c r="F113" s="30"/>
      <c r="G113" s="11">
        <f t="shared" si="13"/>
        <v>0</v>
      </c>
      <c r="H113" s="11">
        <f t="shared" si="14"/>
        <v>0</v>
      </c>
      <c r="I113" s="66"/>
      <c r="Q113">
        <f t="shared" si="15"/>
        <v>0</v>
      </c>
    </row>
    <row r="114" spans="1:17" ht="12.75">
      <c r="A114" s="62"/>
      <c r="B114" s="65"/>
      <c r="C114" s="66"/>
      <c r="D114" s="63"/>
      <c r="E114" s="67"/>
      <c r="F114" s="30"/>
      <c r="G114" s="11">
        <f t="shared" si="13"/>
        <v>0</v>
      </c>
      <c r="H114" s="11">
        <f t="shared" si="14"/>
        <v>0</v>
      </c>
      <c r="I114" s="66"/>
      <c r="Q114">
        <f t="shared" si="15"/>
        <v>0</v>
      </c>
    </row>
    <row r="115" spans="1:17" ht="12.75">
      <c r="A115" s="62"/>
      <c r="B115" s="65"/>
      <c r="C115" s="66"/>
      <c r="D115" s="63"/>
      <c r="E115" s="67"/>
      <c r="F115" s="30">
        <f aca="true" t="shared" si="16" ref="F115:F146">IF(E115="+",C115,0)</f>
        <v>0</v>
      </c>
      <c r="G115" s="11">
        <f t="shared" si="13"/>
        <v>0</v>
      </c>
      <c r="H115" s="11">
        <f t="shared" si="14"/>
        <v>0</v>
      </c>
      <c r="I115" s="66"/>
      <c r="Q115">
        <f t="shared" si="15"/>
        <v>0</v>
      </c>
    </row>
    <row r="116" spans="1:17" ht="12.75">
      <c r="A116" s="62"/>
      <c r="B116" s="65"/>
      <c r="C116" s="66"/>
      <c r="D116" s="63"/>
      <c r="E116" s="67"/>
      <c r="F116" s="30">
        <f t="shared" si="16"/>
        <v>0</v>
      </c>
      <c r="G116" s="11">
        <f t="shared" si="13"/>
        <v>0</v>
      </c>
      <c r="H116" s="11">
        <f t="shared" si="14"/>
        <v>0</v>
      </c>
      <c r="I116" s="66"/>
      <c r="Q116">
        <f t="shared" si="15"/>
        <v>0</v>
      </c>
    </row>
    <row r="117" spans="1:17" ht="12.75">
      <c r="A117" s="62"/>
      <c r="B117" s="65"/>
      <c r="C117" s="66"/>
      <c r="D117" s="63"/>
      <c r="E117" s="67"/>
      <c r="F117" s="30">
        <f t="shared" si="16"/>
        <v>0</v>
      </c>
      <c r="G117" s="11">
        <f t="shared" si="13"/>
        <v>0</v>
      </c>
      <c r="H117" s="11">
        <f t="shared" si="14"/>
        <v>0</v>
      </c>
      <c r="I117" s="66"/>
      <c r="Q117">
        <f t="shared" si="15"/>
        <v>0</v>
      </c>
    </row>
    <row r="118" spans="1:17" ht="12.75">
      <c r="A118" s="62"/>
      <c r="B118" s="65"/>
      <c r="C118" s="66"/>
      <c r="D118" s="63"/>
      <c r="E118" s="67"/>
      <c r="F118" s="30">
        <f t="shared" si="16"/>
        <v>0</v>
      </c>
      <c r="G118" s="11">
        <f t="shared" si="13"/>
        <v>0</v>
      </c>
      <c r="H118" s="11">
        <f t="shared" si="14"/>
        <v>0</v>
      </c>
      <c r="I118" s="66"/>
      <c r="Q118">
        <f t="shared" si="15"/>
        <v>0</v>
      </c>
    </row>
    <row r="119" spans="1:17" ht="12.75">
      <c r="A119" s="62"/>
      <c r="B119" s="65"/>
      <c r="C119" s="66"/>
      <c r="D119" s="63"/>
      <c r="E119" s="67"/>
      <c r="F119" s="30">
        <f t="shared" si="16"/>
        <v>0</v>
      </c>
      <c r="G119" s="11">
        <f t="shared" si="13"/>
        <v>0</v>
      </c>
      <c r="H119" s="11">
        <f t="shared" si="14"/>
        <v>0</v>
      </c>
      <c r="I119" s="66"/>
      <c r="Q119">
        <f t="shared" si="15"/>
        <v>0</v>
      </c>
    </row>
    <row r="120" spans="1:17" ht="12.75">
      <c r="A120" s="62"/>
      <c r="B120" s="65"/>
      <c r="C120" s="66"/>
      <c r="D120" s="63"/>
      <c r="E120" s="67"/>
      <c r="F120" s="30">
        <f t="shared" si="16"/>
        <v>0</v>
      </c>
      <c r="G120" s="11">
        <f t="shared" si="13"/>
        <v>0</v>
      </c>
      <c r="H120" s="11">
        <f t="shared" si="14"/>
        <v>0</v>
      </c>
      <c r="I120" s="66"/>
      <c r="Q120">
        <f t="shared" si="15"/>
        <v>0</v>
      </c>
    </row>
    <row r="121" spans="1:17" ht="12.75">
      <c r="A121" s="62"/>
      <c r="B121" s="65"/>
      <c r="C121" s="66"/>
      <c r="D121" s="63"/>
      <c r="E121" s="67"/>
      <c r="F121" s="30">
        <f t="shared" si="16"/>
        <v>0</v>
      </c>
      <c r="G121" s="11">
        <f t="shared" si="13"/>
        <v>0</v>
      </c>
      <c r="H121" s="11">
        <f t="shared" si="14"/>
        <v>0</v>
      </c>
      <c r="I121" s="66"/>
      <c r="Q121">
        <f t="shared" si="15"/>
        <v>0</v>
      </c>
    </row>
    <row r="122" spans="1:17" ht="12.75">
      <c r="A122" s="62"/>
      <c r="B122" s="64"/>
      <c r="C122" s="66"/>
      <c r="D122" s="63"/>
      <c r="E122" s="67"/>
      <c r="F122" s="30">
        <f t="shared" si="16"/>
        <v>0</v>
      </c>
      <c r="G122" s="11">
        <f t="shared" si="13"/>
        <v>0</v>
      </c>
      <c r="H122" s="11">
        <f t="shared" si="14"/>
        <v>0</v>
      </c>
      <c r="I122" s="66"/>
      <c r="Q122">
        <f t="shared" si="15"/>
        <v>0</v>
      </c>
    </row>
    <row r="123" spans="1:17" ht="12.75">
      <c r="A123" s="62"/>
      <c r="B123" s="65"/>
      <c r="C123" s="66"/>
      <c r="D123" s="63"/>
      <c r="E123" s="67"/>
      <c r="F123" s="30">
        <f t="shared" si="16"/>
        <v>0</v>
      </c>
      <c r="G123" s="11">
        <f t="shared" si="13"/>
        <v>0</v>
      </c>
      <c r="H123" s="11">
        <f t="shared" si="14"/>
        <v>0</v>
      </c>
      <c r="I123" s="66"/>
      <c r="Q123">
        <f t="shared" si="15"/>
        <v>0</v>
      </c>
    </row>
    <row r="124" spans="1:17" ht="12.75">
      <c r="A124" s="62"/>
      <c r="B124" s="65"/>
      <c r="C124" s="66"/>
      <c r="D124" s="63"/>
      <c r="E124" s="67"/>
      <c r="F124" s="30">
        <f t="shared" si="16"/>
        <v>0</v>
      </c>
      <c r="G124" s="11">
        <f t="shared" si="13"/>
        <v>0</v>
      </c>
      <c r="H124" s="11">
        <f t="shared" si="14"/>
        <v>0</v>
      </c>
      <c r="I124" s="66"/>
      <c r="Q124">
        <f t="shared" si="15"/>
        <v>0</v>
      </c>
    </row>
    <row r="125" spans="1:17" ht="12.75">
      <c r="A125" s="62"/>
      <c r="B125" s="65"/>
      <c r="C125" s="66"/>
      <c r="D125" s="63"/>
      <c r="E125" s="67"/>
      <c r="F125" s="30">
        <f t="shared" si="16"/>
        <v>0</v>
      </c>
      <c r="G125" s="11">
        <f t="shared" si="13"/>
        <v>0</v>
      </c>
      <c r="H125" s="11">
        <f t="shared" si="14"/>
        <v>0</v>
      </c>
      <c r="I125" s="66"/>
      <c r="Q125">
        <f t="shared" si="15"/>
        <v>0</v>
      </c>
    </row>
    <row r="126" spans="1:17" ht="12.75">
      <c r="A126" s="62"/>
      <c r="B126" s="65"/>
      <c r="C126" s="66"/>
      <c r="D126" s="63"/>
      <c r="E126" s="67"/>
      <c r="F126" s="30">
        <f t="shared" si="16"/>
        <v>0</v>
      </c>
      <c r="G126" s="11">
        <f t="shared" si="13"/>
        <v>0</v>
      </c>
      <c r="H126" s="11">
        <f t="shared" si="14"/>
        <v>0</v>
      </c>
      <c r="I126" s="66"/>
      <c r="Q126">
        <f t="shared" si="15"/>
        <v>0</v>
      </c>
    </row>
    <row r="127" spans="1:17" ht="12.75">
      <c r="A127" s="62"/>
      <c r="B127" s="65"/>
      <c r="C127" s="66"/>
      <c r="D127" s="63"/>
      <c r="E127" s="67"/>
      <c r="F127" s="30">
        <f t="shared" si="16"/>
        <v>0</v>
      </c>
      <c r="G127" s="11">
        <f t="shared" si="13"/>
        <v>0</v>
      </c>
      <c r="H127" s="11">
        <f t="shared" si="14"/>
        <v>0</v>
      </c>
      <c r="I127" s="66"/>
      <c r="Q127">
        <f t="shared" si="15"/>
        <v>0</v>
      </c>
    </row>
    <row r="128" spans="1:17" ht="12.75">
      <c r="A128" s="62"/>
      <c r="B128" s="65"/>
      <c r="C128" s="66"/>
      <c r="D128" s="63"/>
      <c r="E128" s="67"/>
      <c r="F128" s="30">
        <f t="shared" si="16"/>
        <v>0</v>
      </c>
      <c r="G128" s="11">
        <f t="shared" si="13"/>
        <v>0</v>
      </c>
      <c r="H128" s="11">
        <f t="shared" si="14"/>
        <v>0</v>
      </c>
      <c r="I128" s="66"/>
      <c r="Q128">
        <f t="shared" si="15"/>
        <v>0</v>
      </c>
    </row>
    <row r="129" spans="1:17" ht="12.75">
      <c r="A129" s="62"/>
      <c r="B129" s="65"/>
      <c r="C129" s="66"/>
      <c r="D129" s="63"/>
      <c r="E129" s="67"/>
      <c r="F129" s="30">
        <f t="shared" si="16"/>
        <v>0</v>
      </c>
      <c r="G129" s="11">
        <f t="shared" si="13"/>
        <v>0</v>
      </c>
      <c r="H129" s="11">
        <f t="shared" si="14"/>
        <v>0</v>
      </c>
      <c r="I129" s="66"/>
      <c r="Q129">
        <f t="shared" si="15"/>
        <v>0</v>
      </c>
    </row>
    <row r="130" spans="1:17" ht="12.75">
      <c r="A130" s="62"/>
      <c r="B130" s="65"/>
      <c r="C130" s="66"/>
      <c r="D130" s="63"/>
      <c r="E130" s="67"/>
      <c r="F130" s="30">
        <f t="shared" si="16"/>
        <v>0</v>
      </c>
      <c r="G130" s="11">
        <f t="shared" si="13"/>
        <v>0</v>
      </c>
      <c r="H130" s="11">
        <f t="shared" si="14"/>
        <v>0</v>
      </c>
      <c r="I130" s="66"/>
      <c r="Q130">
        <f t="shared" si="15"/>
        <v>0</v>
      </c>
    </row>
    <row r="131" spans="1:17" ht="12.75">
      <c r="A131" s="62"/>
      <c r="B131" s="65"/>
      <c r="C131" s="66"/>
      <c r="D131" s="63"/>
      <c r="E131" s="67"/>
      <c r="F131" s="30">
        <f t="shared" si="16"/>
        <v>0</v>
      </c>
      <c r="G131" s="11">
        <f aca="true" t="shared" si="17" ref="G131:G162">(IF($E131="+",(G$2-$A131),0))/30.41667</f>
        <v>0</v>
      </c>
      <c r="H131" s="11">
        <f aca="true" t="shared" si="18" ref="H131:H162">IF($E131="+",(H$2-$D131),0)</f>
        <v>0</v>
      </c>
      <c r="I131" s="66"/>
      <c r="Q131">
        <f aca="true" t="shared" si="19" ref="Q131:Q162">IF(A131="",0,CONCATENATE(TEXT(YEAR(A131),0),TEXT(MONTH(A131),0)))</f>
        <v>0</v>
      </c>
    </row>
    <row r="132" spans="1:17" ht="12.75">
      <c r="A132" s="62"/>
      <c r="B132" s="65"/>
      <c r="C132" s="66"/>
      <c r="D132" s="63"/>
      <c r="E132" s="67"/>
      <c r="F132" s="30">
        <f t="shared" si="16"/>
        <v>0</v>
      </c>
      <c r="G132" s="11">
        <f t="shared" si="17"/>
        <v>0</v>
      </c>
      <c r="H132" s="11">
        <f t="shared" si="18"/>
        <v>0</v>
      </c>
      <c r="I132" s="66"/>
      <c r="Q132">
        <f t="shared" si="19"/>
        <v>0</v>
      </c>
    </row>
    <row r="133" spans="1:17" ht="12.75">
      <c r="A133" s="62"/>
      <c r="B133" s="65"/>
      <c r="C133" s="66"/>
      <c r="D133" s="63"/>
      <c r="E133" s="67"/>
      <c r="F133" s="30">
        <f t="shared" si="16"/>
        <v>0</v>
      </c>
      <c r="G133" s="11">
        <f t="shared" si="17"/>
        <v>0</v>
      </c>
      <c r="H133" s="11">
        <f t="shared" si="18"/>
        <v>0</v>
      </c>
      <c r="I133" s="66"/>
      <c r="Q133">
        <f t="shared" si="19"/>
        <v>0</v>
      </c>
    </row>
    <row r="134" spans="1:17" ht="12.75">
      <c r="A134" s="62"/>
      <c r="B134" s="65"/>
      <c r="C134" s="66"/>
      <c r="D134" s="63"/>
      <c r="E134" s="67"/>
      <c r="F134" s="30">
        <f t="shared" si="16"/>
        <v>0</v>
      </c>
      <c r="G134" s="11">
        <f t="shared" si="17"/>
        <v>0</v>
      </c>
      <c r="H134" s="11">
        <f t="shared" si="18"/>
        <v>0</v>
      </c>
      <c r="I134" s="66"/>
      <c r="Q134">
        <f t="shared" si="19"/>
        <v>0</v>
      </c>
    </row>
    <row r="135" spans="1:17" ht="12.75">
      <c r="A135" s="62"/>
      <c r="B135" s="65"/>
      <c r="C135" s="66"/>
      <c r="D135" s="63"/>
      <c r="E135" s="67"/>
      <c r="F135" s="30">
        <f t="shared" si="16"/>
        <v>0</v>
      </c>
      <c r="G135" s="11">
        <f t="shared" si="17"/>
        <v>0</v>
      </c>
      <c r="H135" s="11">
        <f t="shared" si="18"/>
        <v>0</v>
      </c>
      <c r="I135" s="66"/>
      <c r="Q135">
        <f t="shared" si="19"/>
        <v>0</v>
      </c>
    </row>
    <row r="136" spans="1:17" ht="12.75">
      <c r="A136" s="62"/>
      <c r="B136" s="65"/>
      <c r="C136" s="66"/>
      <c r="D136" s="63"/>
      <c r="E136" s="67"/>
      <c r="F136" s="30">
        <f t="shared" si="16"/>
        <v>0</v>
      </c>
      <c r="G136" s="11">
        <f t="shared" si="17"/>
        <v>0</v>
      </c>
      <c r="H136" s="11">
        <f t="shared" si="18"/>
        <v>0</v>
      </c>
      <c r="I136" s="66"/>
      <c r="Q136">
        <f t="shared" si="19"/>
        <v>0</v>
      </c>
    </row>
    <row r="137" spans="1:17" ht="12.75">
      <c r="A137" s="62"/>
      <c r="B137" s="65"/>
      <c r="C137" s="66"/>
      <c r="D137" s="63"/>
      <c r="E137" s="67"/>
      <c r="F137" s="30">
        <f t="shared" si="16"/>
        <v>0</v>
      </c>
      <c r="G137" s="11">
        <f t="shared" si="17"/>
        <v>0</v>
      </c>
      <c r="H137" s="11">
        <f t="shared" si="18"/>
        <v>0</v>
      </c>
      <c r="I137" s="66"/>
      <c r="Q137">
        <f t="shared" si="19"/>
        <v>0</v>
      </c>
    </row>
    <row r="138" spans="1:17" ht="12.75">
      <c r="A138" s="62"/>
      <c r="B138" s="65"/>
      <c r="C138" s="66"/>
      <c r="D138" s="63"/>
      <c r="E138" s="67"/>
      <c r="F138" s="30">
        <f t="shared" si="16"/>
        <v>0</v>
      </c>
      <c r="G138" s="11">
        <f t="shared" si="17"/>
        <v>0</v>
      </c>
      <c r="H138" s="11">
        <f t="shared" si="18"/>
        <v>0</v>
      </c>
      <c r="I138" s="66"/>
      <c r="Q138">
        <f t="shared" si="19"/>
        <v>0</v>
      </c>
    </row>
    <row r="139" spans="1:17" ht="12.75">
      <c r="A139" s="62"/>
      <c r="B139" s="65"/>
      <c r="C139" s="66"/>
      <c r="D139" s="63"/>
      <c r="E139" s="67"/>
      <c r="F139" s="30">
        <f t="shared" si="16"/>
        <v>0</v>
      </c>
      <c r="G139" s="11">
        <f t="shared" si="17"/>
        <v>0</v>
      </c>
      <c r="H139" s="11">
        <f t="shared" si="18"/>
        <v>0</v>
      </c>
      <c r="I139" s="66"/>
      <c r="Q139">
        <f t="shared" si="19"/>
        <v>0</v>
      </c>
    </row>
    <row r="140" spans="1:17" ht="12.75">
      <c r="A140" s="62"/>
      <c r="B140" s="65"/>
      <c r="C140" s="66"/>
      <c r="D140" s="63"/>
      <c r="E140" s="67"/>
      <c r="F140" s="30">
        <f t="shared" si="16"/>
        <v>0</v>
      </c>
      <c r="G140" s="11">
        <f t="shared" si="17"/>
        <v>0</v>
      </c>
      <c r="H140" s="11">
        <f t="shared" si="18"/>
        <v>0</v>
      </c>
      <c r="I140" s="66"/>
      <c r="Q140">
        <f t="shared" si="19"/>
        <v>0</v>
      </c>
    </row>
    <row r="141" spans="1:17" ht="12.75">
      <c r="A141" s="62"/>
      <c r="B141" s="65"/>
      <c r="C141" s="66"/>
      <c r="D141" s="63"/>
      <c r="E141" s="67"/>
      <c r="F141" s="30">
        <f t="shared" si="16"/>
        <v>0</v>
      </c>
      <c r="G141" s="11">
        <f t="shared" si="17"/>
        <v>0</v>
      </c>
      <c r="H141" s="11">
        <f t="shared" si="18"/>
        <v>0</v>
      </c>
      <c r="I141" s="66"/>
      <c r="Q141">
        <f t="shared" si="19"/>
        <v>0</v>
      </c>
    </row>
    <row r="142" spans="1:17" ht="12.75">
      <c r="A142" s="62"/>
      <c r="B142" s="65"/>
      <c r="C142" s="66"/>
      <c r="D142" s="63"/>
      <c r="E142" s="67"/>
      <c r="F142" s="30">
        <f t="shared" si="16"/>
        <v>0</v>
      </c>
      <c r="G142" s="11">
        <f t="shared" si="17"/>
        <v>0</v>
      </c>
      <c r="H142" s="11">
        <f t="shared" si="18"/>
        <v>0</v>
      </c>
      <c r="I142" s="66"/>
      <c r="Q142">
        <f t="shared" si="19"/>
        <v>0</v>
      </c>
    </row>
    <row r="143" spans="1:17" ht="12.75">
      <c r="A143" s="62"/>
      <c r="B143" s="65"/>
      <c r="C143" s="66"/>
      <c r="D143" s="63"/>
      <c r="E143" s="67"/>
      <c r="F143" s="30">
        <f t="shared" si="16"/>
        <v>0</v>
      </c>
      <c r="G143" s="11">
        <f t="shared" si="17"/>
        <v>0</v>
      </c>
      <c r="H143" s="11">
        <f t="shared" si="18"/>
        <v>0</v>
      </c>
      <c r="I143" s="66"/>
      <c r="Q143">
        <f t="shared" si="19"/>
        <v>0</v>
      </c>
    </row>
    <row r="144" spans="1:17" ht="12.75">
      <c r="A144" s="62"/>
      <c r="B144" s="65"/>
      <c r="C144" s="66"/>
      <c r="D144" s="63"/>
      <c r="E144" s="67"/>
      <c r="F144" s="30">
        <f t="shared" si="16"/>
        <v>0</v>
      </c>
      <c r="G144" s="11">
        <f t="shared" si="17"/>
        <v>0</v>
      </c>
      <c r="H144" s="11">
        <f t="shared" si="18"/>
        <v>0</v>
      </c>
      <c r="I144" s="66"/>
      <c r="Q144">
        <f t="shared" si="19"/>
        <v>0</v>
      </c>
    </row>
    <row r="145" spans="1:17" ht="12.75">
      <c r="A145" s="62"/>
      <c r="B145" s="65"/>
      <c r="C145" s="66"/>
      <c r="D145" s="63"/>
      <c r="E145" s="67"/>
      <c r="F145" s="30">
        <f t="shared" si="16"/>
        <v>0</v>
      </c>
      <c r="G145" s="11">
        <f t="shared" si="17"/>
        <v>0</v>
      </c>
      <c r="H145" s="11">
        <f t="shared" si="18"/>
        <v>0</v>
      </c>
      <c r="I145" s="66"/>
      <c r="Q145">
        <f t="shared" si="19"/>
        <v>0</v>
      </c>
    </row>
    <row r="146" spans="1:17" ht="12.75">
      <c r="A146" s="62"/>
      <c r="B146" s="65"/>
      <c r="C146" s="66"/>
      <c r="D146" s="63"/>
      <c r="E146" s="67"/>
      <c r="F146" s="30">
        <f t="shared" si="16"/>
        <v>0</v>
      </c>
      <c r="G146" s="11">
        <f t="shared" si="17"/>
        <v>0</v>
      </c>
      <c r="H146" s="11">
        <f t="shared" si="18"/>
        <v>0</v>
      </c>
      <c r="I146" s="66"/>
      <c r="Q146">
        <f t="shared" si="19"/>
        <v>0</v>
      </c>
    </row>
    <row r="147" spans="1:17" ht="12.75">
      <c r="A147" s="62"/>
      <c r="B147" s="65"/>
      <c r="C147" s="66"/>
      <c r="D147" s="63"/>
      <c r="E147" s="67"/>
      <c r="F147" s="30">
        <f aca="true" t="shared" si="20" ref="F147:F178">IF(E147="+",C147,0)</f>
        <v>0</v>
      </c>
      <c r="G147" s="11">
        <f t="shared" si="17"/>
        <v>0</v>
      </c>
      <c r="H147" s="11">
        <f t="shared" si="18"/>
        <v>0</v>
      </c>
      <c r="I147" s="66"/>
      <c r="Q147">
        <f t="shared" si="19"/>
        <v>0</v>
      </c>
    </row>
    <row r="148" spans="1:17" ht="12.75">
      <c r="A148" s="62"/>
      <c r="B148" s="65"/>
      <c r="C148" s="66"/>
      <c r="D148" s="63"/>
      <c r="E148" s="67"/>
      <c r="F148" s="30">
        <f t="shared" si="20"/>
        <v>0</v>
      </c>
      <c r="G148" s="11">
        <f t="shared" si="17"/>
        <v>0</v>
      </c>
      <c r="H148" s="11">
        <f t="shared" si="18"/>
        <v>0</v>
      </c>
      <c r="I148" s="66"/>
      <c r="Q148">
        <f t="shared" si="19"/>
        <v>0</v>
      </c>
    </row>
    <row r="149" spans="1:17" ht="12.75">
      <c r="A149" s="62"/>
      <c r="B149" s="65"/>
      <c r="C149" s="66"/>
      <c r="D149" s="63"/>
      <c r="E149" s="67"/>
      <c r="F149" s="30">
        <f t="shared" si="20"/>
        <v>0</v>
      </c>
      <c r="G149" s="11">
        <f t="shared" si="17"/>
        <v>0</v>
      </c>
      <c r="H149" s="11">
        <f t="shared" si="18"/>
        <v>0</v>
      </c>
      <c r="I149" s="66"/>
      <c r="Q149">
        <f t="shared" si="19"/>
        <v>0</v>
      </c>
    </row>
    <row r="150" spans="1:17" ht="12.75">
      <c r="A150" s="62"/>
      <c r="B150" s="65"/>
      <c r="C150" s="66"/>
      <c r="D150" s="63"/>
      <c r="E150" s="67"/>
      <c r="F150" s="30">
        <f t="shared" si="20"/>
        <v>0</v>
      </c>
      <c r="G150" s="11">
        <f t="shared" si="17"/>
        <v>0</v>
      </c>
      <c r="H150" s="11">
        <f t="shared" si="18"/>
        <v>0</v>
      </c>
      <c r="I150" s="66"/>
      <c r="Q150">
        <f t="shared" si="19"/>
        <v>0</v>
      </c>
    </row>
    <row r="151" spans="1:17" ht="12.75">
      <c r="A151" s="62"/>
      <c r="B151" s="65"/>
      <c r="C151" s="66"/>
      <c r="D151" s="63"/>
      <c r="E151" s="67"/>
      <c r="F151" s="30">
        <f t="shared" si="20"/>
        <v>0</v>
      </c>
      <c r="G151" s="11">
        <f t="shared" si="17"/>
        <v>0</v>
      </c>
      <c r="H151" s="11">
        <f t="shared" si="18"/>
        <v>0</v>
      </c>
      <c r="I151" s="66"/>
      <c r="Q151">
        <f t="shared" si="19"/>
        <v>0</v>
      </c>
    </row>
    <row r="152" spans="1:17" ht="12.75">
      <c r="A152" s="62"/>
      <c r="B152" s="65"/>
      <c r="C152" s="66"/>
      <c r="D152" s="63"/>
      <c r="E152" s="67"/>
      <c r="F152" s="30">
        <f t="shared" si="20"/>
        <v>0</v>
      </c>
      <c r="G152" s="11">
        <f t="shared" si="17"/>
        <v>0</v>
      </c>
      <c r="H152" s="11">
        <f t="shared" si="18"/>
        <v>0</v>
      </c>
      <c r="I152" s="66"/>
      <c r="Q152">
        <f t="shared" si="19"/>
        <v>0</v>
      </c>
    </row>
    <row r="153" spans="1:17" ht="12.75">
      <c r="A153" s="62"/>
      <c r="B153" s="65"/>
      <c r="C153" s="66"/>
      <c r="D153" s="63"/>
      <c r="E153" s="67"/>
      <c r="F153" s="30">
        <f t="shared" si="20"/>
        <v>0</v>
      </c>
      <c r="G153" s="11">
        <f t="shared" si="17"/>
        <v>0</v>
      </c>
      <c r="H153" s="11">
        <f t="shared" si="18"/>
        <v>0</v>
      </c>
      <c r="I153" s="66"/>
      <c r="Q153">
        <f t="shared" si="19"/>
        <v>0</v>
      </c>
    </row>
    <row r="154" spans="1:17" ht="12.75">
      <c r="A154" s="62"/>
      <c r="B154" s="65"/>
      <c r="C154" s="66"/>
      <c r="D154" s="63"/>
      <c r="E154" s="67"/>
      <c r="F154" s="30">
        <f t="shared" si="20"/>
        <v>0</v>
      </c>
      <c r="G154" s="11">
        <f t="shared" si="17"/>
        <v>0</v>
      </c>
      <c r="H154" s="11">
        <f t="shared" si="18"/>
        <v>0</v>
      </c>
      <c r="I154" s="66"/>
      <c r="Q154">
        <f t="shared" si="19"/>
        <v>0</v>
      </c>
    </row>
    <row r="155" spans="1:17" ht="12.75">
      <c r="A155" s="62"/>
      <c r="B155" s="65"/>
      <c r="C155" s="66"/>
      <c r="D155" s="63"/>
      <c r="E155" s="67"/>
      <c r="F155" s="30">
        <f t="shared" si="20"/>
        <v>0</v>
      </c>
      <c r="G155" s="11">
        <f t="shared" si="17"/>
        <v>0</v>
      </c>
      <c r="H155" s="11">
        <f t="shared" si="18"/>
        <v>0</v>
      </c>
      <c r="I155" s="66"/>
      <c r="Q155">
        <f t="shared" si="19"/>
        <v>0</v>
      </c>
    </row>
    <row r="156" spans="1:17" ht="12.75">
      <c r="A156" s="62"/>
      <c r="B156" s="65"/>
      <c r="C156" s="66"/>
      <c r="D156" s="63"/>
      <c r="E156" s="67"/>
      <c r="F156" s="30">
        <f t="shared" si="20"/>
        <v>0</v>
      </c>
      <c r="G156" s="11">
        <f t="shared" si="17"/>
        <v>0</v>
      </c>
      <c r="H156" s="11">
        <f t="shared" si="18"/>
        <v>0</v>
      </c>
      <c r="I156" s="66"/>
      <c r="Q156">
        <f t="shared" si="19"/>
        <v>0</v>
      </c>
    </row>
    <row r="157" spans="1:17" ht="12.75">
      <c r="A157" s="62"/>
      <c r="B157" s="65"/>
      <c r="C157" s="66"/>
      <c r="D157" s="63"/>
      <c r="E157" s="67"/>
      <c r="F157" s="30">
        <f t="shared" si="20"/>
        <v>0</v>
      </c>
      <c r="G157" s="11">
        <f t="shared" si="17"/>
        <v>0</v>
      </c>
      <c r="H157" s="11">
        <f t="shared" si="18"/>
        <v>0</v>
      </c>
      <c r="I157" s="66"/>
      <c r="Q157">
        <f t="shared" si="19"/>
        <v>0</v>
      </c>
    </row>
    <row r="158" spans="1:17" ht="12.75">
      <c r="A158" s="62"/>
      <c r="B158" s="65"/>
      <c r="C158" s="66"/>
      <c r="D158" s="63"/>
      <c r="E158" s="67"/>
      <c r="F158" s="30">
        <f t="shared" si="20"/>
        <v>0</v>
      </c>
      <c r="G158" s="11">
        <f t="shared" si="17"/>
        <v>0</v>
      </c>
      <c r="H158" s="11">
        <f t="shared" si="18"/>
        <v>0</v>
      </c>
      <c r="I158" s="66"/>
      <c r="Q158">
        <f t="shared" si="19"/>
        <v>0</v>
      </c>
    </row>
    <row r="159" spans="1:17" ht="12.75">
      <c r="A159" s="62"/>
      <c r="B159" s="65"/>
      <c r="C159" s="66"/>
      <c r="D159" s="63"/>
      <c r="E159" s="67"/>
      <c r="F159" s="30">
        <f t="shared" si="20"/>
        <v>0</v>
      </c>
      <c r="G159" s="11">
        <f t="shared" si="17"/>
        <v>0</v>
      </c>
      <c r="H159" s="11">
        <f t="shared" si="18"/>
        <v>0</v>
      </c>
      <c r="I159" s="66"/>
      <c r="Q159">
        <f t="shared" si="19"/>
        <v>0</v>
      </c>
    </row>
    <row r="160" spans="1:17" ht="12.75">
      <c r="A160" s="62"/>
      <c r="B160" s="65"/>
      <c r="C160" s="66"/>
      <c r="D160" s="63"/>
      <c r="E160" s="67"/>
      <c r="F160" s="30">
        <f t="shared" si="20"/>
        <v>0</v>
      </c>
      <c r="G160" s="11">
        <f t="shared" si="17"/>
        <v>0</v>
      </c>
      <c r="H160" s="11">
        <f t="shared" si="18"/>
        <v>0</v>
      </c>
      <c r="I160" s="66"/>
      <c r="Q160">
        <f t="shared" si="19"/>
        <v>0</v>
      </c>
    </row>
    <row r="161" spans="1:17" ht="12.75">
      <c r="A161" s="62"/>
      <c r="B161" s="65"/>
      <c r="C161" s="66"/>
      <c r="D161" s="63"/>
      <c r="E161" s="67"/>
      <c r="F161" s="30">
        <f t="shared" si="20"/>
        <v>0</v>
      </c>
      <c r="G161" s="11">
        <f t="shared" si="17"/>
        <v>0</v>
      </c>
      <c r="H161" s="11">
        <f t="shared" si="18"/>
        <v>0</v>
      </c>
      <c r="I161" s="66"/>
      <c r="Q161">
        <f t="shared" si="19"/>
        <v>0</v>
      </c>
    </row>
    <row r="162" spans="1:17" ht="12.75">
      <c r="A162" s="62"/>
      <c r="B162" s="65"/>
      <c r="C162" s="66"/>
      <c r="D162" s="63"/>
      <c r="E162" s="67"/>
      <c r="F162" s="30">
        <f t="shared" si="20"/>
        <v>0</v>
      </c>
      <c r="G162" s="11">
        <f t="shared" si="17"/>
        <v>0</v>
      </c>
      <c r="H162" s="11">
        <f t="shared" si="18"/>
        <v>0</v>
      </c>
      <c r="I162" s="66"/>
      <c r="Q162">
        <f t="shared" si="19"/>
        <v>0</v>
      </c>
    </row>
    <row r="163" spans="1:17" ht="12.75">
      <c r="A163" s="62"/>
      <c r="B163" s="65"/>
      <c r="C163" s="66"/>
      <c r="D163" s="63"/>
      <c r="E163" s="67"/>
      <c r="F163" s="30">
        <f t="shared" si="20"/>
        <v>0</v>
      </c>
      <c r="G163" s="11">
        <f aca="true" t="shared" si="21" ref="G163:G169">(IF($E163="+",(G$2-$A163),0))/30.41667</f>
        <v>0</v>
      </c>
      <c r="H163" s="11">
        <f aca="true" t="shared" si="22" ref="H163:H169">IF($E163="+",(H$2-$D163),0)</f>
        <v>0</v>
      </c>
      <c r="I163" s="66"/>
      <c r="Q163">
        <f aca="true" t="shared" si="23" ref="Q163:Q170">IF(A163="",0,CONCATENATE(TEXT(YEAR(A163),0),TEXT(MONTH(A163),0)))</f>
        <v>0</v>
      </c>
    </row>
    <row r="164" spans="1:17" ht="12.75">
      <c r="A164" s="62"/>
      <c r="B164" s="65"/>
      <c r="C164" s="66"/>
      <c r="D164" s="63"/>
      <c r="E164" s="67"/>
      <c r="F164" s="30">
        <f t="shared" si="20"/>
        <v>0</v>
      </c>
      <c r="G164" s="11">
        <f t="shared" si="21"/>
        <v>0</v>
      </c>
      <c r="H164" s="11">
        <f t="shared" si="22"/>
        <v>0</v>
      </c>
      <c r="I164" s="66"/>
      <c r="Q164">
        <f t="shared" si="23"/>
        <v>0</v>
      </c>
    </row>
    <row r="165" spans="1:17" ht="12.75">
      <c r="A165" s="62"/>
      <c r="B165" s="65"/>
      <c r="C165" s="66"/>
      <c r="D165" s="63"/>
      <c r="E165" s="67"/>
      <c r="F165" s="30">
        <f t="shared" si="20"/>
        <v>0</v>
      </c>
      <c r="G165" s="11">
        <f t="shared" si="21"/>
        <v>0</v>
      </c>
      <c r="H165" s="11">
        <f t="shared" si="22"/>
        <v>0</v>
      </c>
      <c r="I165" s="66"/>
      <c r="Q165">
        <f t="shared" si="23"/>
        <v>0</v>
      </c>
    </row>
    <row r="166" spans="1:17" ht="12.75">
      <c r="A166" s="62"/>
      <c r="B166" s="65"/>
      <c r="C166" s="66"/>
      <c r="D166" s="63"/>
      <c r="E166" s="67"/>
      <c r="F166" s="30">
        <f t="shared" si="20"/>
        <v>0</v>
      </c>
      <c r="G166" s="11">
        <f t="shared" si="21"/>
        <v>0</v>
      </c>
      <c r="H166" s="11">
        <f t="shared" si="22"/>
        <v>0</v>
      </c>
      <c r="I166" s="66"/>
      <c r="Q166">
        <f t="shared" si="23"/>
        <v>0</v>
      </c>
    </row>
    <row r="167" spans="1:17" ht="12.75">
      <c r="A167" s="62"/>
      <c r="B167" s="65"/>
      <c r="C167" s="66"/>
      <c r="D167" s="63"/>
      <c r="E167" s="67"/>
      <c r="F167" s="30">
        <f t="shared" si="20"/>
        <v>0</v>
      </c>
      <c r="G167" s="11">
        <f t="shared" si="21"/>
        <v>0</v>
      </c>
      <c r="H167" s="11">
        <f t="shared" si="22"/>
        <v>0</v>
      </c>
      <c r="I167" s="66"/>
      <c r="Q167">
        <f t="shared" si="23"/>
        <v>0</v>
      </c>
    </row>
    <row r="168" spans="1:17" ht="12.75">
      <c r="A168" s="62"/>
      <c r="B168" s="65"/>
      <c r="C168" s="66"/>
      <c r="D168" s="63"/>
      <c r="E168" s="67"/>
      <c r="F168" s="30">
        <f t="shared" si="20"/>
        <v>0</v>
      </c>
      <c r="G168" s="11">
        <f t="shared" si="21"/>
        <v>0</v>
      </c>
      <c r="H168" s="11">
        <f t="shared" si="22"/>
        <v>0</v>
      </c>
      <c r="I168" s="66"/>
      <c r="Q168">
        <f t="shared" si="23"/>
        <v>0</v>
      </c>
    </row>
    <row r="169" spans="1:17" ht="12.75">
      <c r="A169" s="62"/>
      <c r="B169" s="65"/>
      <c r="C169" s="66"/>
      <c r="D169" s="63"/>
      <c r="E169" s="67"/>
      <c r="F169" s="30">
        <f t="shared" si="20"/>
        <v>0</v>
      </c>
      <c r="G169" s="11">
        <f t="shared" si="21"/>
        <v>0</v>
      </c>
      <c r="H169" s="11">
        <f t="shared" si="22"/>
        <v>0</v>
      </c>
      <c r="I169" s="66"/>
      <c r="Q169">
        <f t="shared" si="23"/>
        <v>0</v>
      </c>
    </row>
    <row r="170" spans="1:17" ht="12.75">
      <c r="A170" s="62"/>
      <c r="B170" s="65"/>
      <c r="C170" s="66"/>
      <c r="D170" s="63"/>
      <c r="E170" s="67"/>
      <c r="F170" s="30">
        <f t="shared" si="20"/>
        <v>0</v>
      </c>
      <c r="G170" s="10"/>
      <c r="H170" s="11"/>
      <c r="I170" s="66"/>
      <c r="Q170">
        <f t="shared" si="23"/>
        <v>0</v>
      </c>
    </row>
    <row r="171" spans="3:9" ht="12.75">
      <c r="C171" s="24">
        <f>SUM(C3:C170)</f>
        <v>5959</v>
      </c>
      <c r="D171" s="24"/>
      <c r="E171" s="24">
        <f>SUM(E3:E170)</f>
        <v>0</v>
      </c>
      <c r="F171" s="31">
        <f>SUM(F3:F170)</f>
        <v>5959</v>
      </c>
      <c r="G171" s="24"/>
      <c r="H171" s="24"/>
      <c r="I171" s="24"/>
    </row>
  </sheetData>
  <sheetProtection/>
  <autoFilter ref="A1:B171"/>
  <conditionalFormatting sqref="D5:D170 D172:D180 B4:B6 I84:I180 G171:H171 D171:E171 A3:A180 C5:C180 B9:B12 C3:D4 I3:I12 B14:B180 I14:I82">
    <cfRule type="expression" priority="1" dxfId="5" stopIfTrue="1">
      <formula>$E3&lt;&gt;"+"</formula>
    </cfRule>
  </conditionalFormatting>
  <conditionalFormatting sqref="I83">
    <cfRule type="expression" priority="2" dxfId="5" stopIfTrue="1">
      <formula>$D83&lt;&gt;"+"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6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81"/>
  <sheetViews>
    <sheetView showZeros="0" zoomScalePageLayoutView="0" workbookViewId="0" topLeftCell="A1">
      <selection activeCell="B31" sqref="B31"/>
    </sheetView>
  </sheetViews>
  <sheetFormatPr defaultColWidth="9.00390625" defaultRowHeight="12.75"/>
  <cols>
    <col min="1" max="1" width="10.75390625" style="18" bestFit="1" customWidth="1"/>
    <col min="2" max="2" width="36.625" style="26" customWidth="1"/>
    <col min="3" max="3" width="9.75390625" style="23" bestFit="1" customWidth="1"/>
    <col min="4" max="4" width="9.75390625" style="16" bestFit="1" customWidth="1"/>
    <col min="5" max="5" width="2.625" style="25" customWidth="1"/>
    <col min="8" max="15" width="1.75390625" style="0" customWidth="1"/>
  </cols>
  <sheetData>
    <row r="1" spans="1:5" ht="12.75">
      <c r="A1" s="1" t="s">
        <v>0</v>
      </c>
      <c r="B1" s="20" t="s">
        <v>23</v>
      </c>
      <c r="C1" s="21" t="s">
        <v>2</v>
      </c>
      <c r="D1" s="3" t="s">
        <v>3</v>
      </c>
      <c r="E1" s="22" t="s">
        <v>24</v>
      </c>
    </row>
    <row r="2" spans="1:5" ht="12.75">
      <c r="A2" s="1"/>
      <c r="B2" s="20"/>
      <c r="C2" s="21"/>
      <c r="D2" s="3">
        <f>Бензин!E2</f>
        <v>244532</v>
      </c>
      <c r="E2" s="22"/>
    </row>
    <row r="3" spans="1:16" ht="12.75">
      <c r="A3" s="62">
        <v>39793</v>
      </c>
      <c r="B3" s="65" t="s">
        <v>118</v>
      </c>
      <c r="C3" s="66">
        <v>180000</v>
      </c>
      <c r="D3" s="63">
        <v>207000</v>
      </c>
      <c r="E3" s="67" t="s">
        <v>26</v>
      </c>
      <c r="F3">
        <f>IF(E3="+",C3,0)</f>
        <v>180000</v>
      </c>
      <c r="P3" t="str">
        <f aca="true" t="shared" si="0" ref="P3:P74">IF(A3="",0,CONCATENATE(TEXT(YEAR(A3),0),TEXT(MONTH(A3),0)))</f>
        <v>200812</v>
      </c>
    </row>
    <row r="4" spans="1:16" ht="12.75">
      <c r="A4" s="62">
        <v>39995</v>
      </c>
      <c r="B4" s="65" t="s">
        <v>334</v>
      </c>
      <c r="C4" s="66">
        <v>2800</v>
      </c>
      <c r="D4" s="63">
        <v>0</v>
      </c>
      <c r="E4" s="67" t="s">
        <v>26</v>
      </c>
      <c r="F4">
        <f aca="true" t="shared" si="1" ref="F4:F34">IF(E4="+",C4,0)</f>
        <v>2800</v>
      </c>
      <c r="P4" t="str">
        <f t="shared" si="0"/>
        <v>20097</v>
      </c>
    </row>
    <row r="5" spans="1:16" ht="12.75">
      <c r="A5" s="62">
        <v>39996</v>
      </c>
      <c r="B5" s="65" t="s">
        <v>47</v>
      </c>
      <c r="C5" s="66">
        <v>260</v>
      </c>
      <c r="D5" s="63">
        <v>0</v>
      </c>
      <c r="E5" s="67" t="s">
        <v>26</v>
      </c>
      <c r="F5">
        <f t="shared" si="1"/>
        <v>260</v>
      </c>
      <c r="P5" t="str">
        <f t="shared" si="0"/>
        <v>20097</v>
      </c>
    </row>
    <row r="6" spans="1:16" ht="12.75">
      <c r="A6" s="62">
        <v>40236</v>
      </c>
      <c r="B6" s="65" t="s">
        <v>335</v>
      </c>
      <c r="C6" s="66">
        <v>1370</v>
      </c>
      <c r="D6" s="63"/>
      <c r="E6" s="67" t="s">
        <v>26</v>
      </c>
      <c r="F6">
        <f t="shared" si="1"/>
        <v>1370</v>
      </c>
      <c r="P6" t="str">
        <f t="shared" si="0"/>
        <v>20102</v>
      </c>
    </row>
    <row r="7" spans="1:16" ht="12.75">
      <c r="A7" s="62">
        <v>40347</v>
      </c>
      <c r="B7" s="65" t="s">
        <v>47</v>
      </c>
      <c r="C7" s="66">
        <v>300</v>
      </c>
      <c r="D7" s="63"/>
      <c r="E7" s="67" t="s">
        <v>26</v>
      </c>
      <c r="F7">
        <f t="shared" si="1"/>
        <v>300</v>
      </c>
      <c r="P7" t="str">
        <f t="shared" si="0"/>
        <v>20106</v>
      </c>
    </row>
    <row r="8" spans="1:16" ht="12.75">
      <c r="A8" s="62">
        <v>40346</v>
      </c>
      <c r="B8" s="65" t="s">
        <v>356</v>
      </c>
      <c r="C8" s="66">
        <v>3000</v>
      </c>
      <c r="D8" s="63"/>
      <c r="E8" s="67" t="s">
        <v>26</v>
      </c>
      <c r="F8">
        <f t="shared" si="1"/>
        <v>3000</v>
      </c>
      <c r="P8" t="str">
        <f t="shared" si="0"/>
        <v>20106</v>
      </c>
    </row>
    <row r="9" spans="1:16" ht="12.75">
      <c r="A9" s="62">
        <v>40351</v>
      </c>
      <c r="B9" s="65" t="s">
        <v>357</v>
      </c>
      <c r="C9" s="66">
        <v>70</v>
      </c>
      <c r="D9" s="63">
        <v>229300</v>
      </c>
      <c r="E9" s="67" t="s">
        <v>26</v>
      </c>
      <c r="F9">
        <f t="shared" si="1"/>
        <v>70</v>
      </c>
      <c r="P9" t="str">
        <f t="shared" si="0"/>
        <v>20106</v>
      </c>
    </row>
    <row r="10" spans="1:16" ht="12.75">
      <c r="A10" s="62">
        <v>40360</v>
      </c>
      <c r="B10" s="65" t="s">
        <v>334</v>
      </c>
      <c r="C10" s="66">
        <v>2703</v>
      </c>
      <c r="D10" s="63">
        <v>229550</v>
      </c>
      <c r="E10" s="67" t="s">
        <v>26</v>
      </c>
      <c r="F10">
        <f t="shared" si="1"/>
        <v>2703</v>
      </c>
      <c r="P10" t="str">
        <f t="shared" si="0"/>
        <v>20107</v>
      </c>
    </row>
    <row r="11" spans="1:16" ht="12.75">
      <c r="A11" s="62">
        <v>40360</v>
      </c>
      <c r="B11" s="65" t="s">
        <v>358</v>
      </c>
      <c r="C11" s="66">
        <v>1200</v>
      </c>
      <c r="D11" s="63">
        <v>229550</v>
      </c>
      <c r="E11" s="67" t="s">
        <v>26</v>
      </c>
      <c r="F11">
        <f t="shared" si="1"/>
        <v>1200</v>
      </c>
      <c r="P11" t="str">
        <f t="shared" si="0"/>
        <v>20107</v>
      </c>
    </row>
    <row r="12" spans="1:16" ht="12.75">
      <c r="A12" s="62">
        <v>40455</v>
      </c>
      <c r="B12" s="65" t="s">
        <v>386</v>
      </c>
      <c r="C12" s="66">
        <v>-225</v>
      </c>
      <c r="D12" s="63"/>
      <c r="E12" s="67"/>
      <c r="F12">
        <f t="shared" si="1"/>
        <v>0</v>
      </c>
      <c r="P12" t="str">
        <f t="shared" si="0"/>
        <v>201010</v>
      </c>
    </row>
    <row r="13" spans="1:16" ht="12.75">
      <c r="A13" s="62">
        <v>40502</v>
      </c>
      <c r="B13" s="65" t="s">
        <v>386</v>
      </c>
      <c r="C13" s="66">
        <v>-970</v>
      </c>
      <c r="D13" s="63"/>
      <c r="E13" s="67"/>
      <c r="F13">
        <f t="shared" si="1"/>
        <v>0</v>
      </c>
      <c r="P13" t="str">
        <f t="shared" si="0"/>
        <v>201011</v>
      </c>
    </row>
    <row r="14" spans="1:16" ht="12.75">
      <c r="A14" s="62">
        <v>40508</v>
      </c>
      <c r="B14" s="65" t="s">
        <v>129</v>
      </c>
      <c r="C14" s="66">
        <v>270</v>
      </c>
      <c r="D14" s="63">
        <v>238800</v>
      </c>
      <c r="E14" s="67" t="s">
        <v>26</v>
      </c>
      <c r="F14">
        <f t="shared" si="1"/>
        <v>270</v>
      </c>
      <c r="P14" t="str">
        <f t="shared" si="0"/>
        <v>201011</v>
      </c>
    </row>
    <row r="15" spans="1:16" ht="12.75">
      <c r="A15" s="62">
        <v>40518</v>
      </c>
      <c r="B15" s="65" t="s">
        <v>406</v>
      </c>
      <c r="C15" s="66">
        <v>2500</v>
      </c>
      <c r="D15" s="63">
        <v>242600</v>
      </c>
      <c r="E15" s="67" t="s">
        <v>26</v>
      </c>
      <c r="F15">
        <f t="shared" si="1"/>
        <v>2500</v>
      </c>
      <c r="P15" t="str">
        <f t="shared" si="0"/>
        <v>201012</v>
      </c>
    </row>
    <row r="16" spans="1:16" ht="12.75">
      <c r="A16" s="62">
        <v>40581</v>
      </c>
      <c r="B16" s="65" t="s">
        <v>407</v>
      </c>
      <c r="C16" s="66">
        <v>2990</v>
      </c>
      <c r="D16" s="63">
        <v>242600</v>
      </c>
      <c r="E16" s="67" t="s">
        <v>26</v>
      </c>
      <c r="F16">
        <f>IF(E16="+",C16,0)</f>
        <v>2990</v>
      </c>
      <c r="P16" t="str">
        <f>IF(A16="",0,CONCATENATE(TEXT(YEAR(A16),0),TEXT(MONTH(A16),0)))</f>
        <v>20112</v>
      </c>
    </row>
    <row r="17" spans="1:16" ht="12.75">
      <c r="A17" s="62">
        <v>40561</v>
      </c>
      <c r="B17" s="65" t="s">
        <v>399</v>
      </c>
      <c r="C17" s="66">
        <v>3000</v>
      </c>
      <c r="D17" s="63">
        <v>242600</v>
      </c>
      <c r="E17" s="67" t="s">
        <v>26</v>
      </c>
      <c r="F17">
        <f t="shared" si="1"/>
        <v>3000</v>
      </c>
      <c r="P17" t="str">
        <f t="shared" si="0"/>
        <v>20111</v>
      </c>
    </row>
    <row r="18" spans="1:16" ht="12.75">
      <c r="A18" s="62">
        <v>40486</v>
      </c>
      <c r="B18" s="65" t="s">
        <v>380</v>
      </c>
      <c r="C18" s="66">
        <v>2200</v>
      </c>
      <c r="D18" s="63">
        <v>242600</v>
      </c>
      <c r="E18" s="67" t="s">
        <v>26</v>
      </c>
      <c r="F18">
        <f t="shared" si="1"/>
        <v>2200</v>
      </c>
      <c r="P18" t="str">
        <f t="shared" si="0"/>
        <v>201011</v>
      </c>
    </row>
    <row r="19" spans="1:16" ht="12.75">
      <c r="A19" s="62">
        <v>40174</v>
      </c>
      <c r="B19" s="65" t="s">
        <v>326</v>
      </c>
      <c r="C19" s="66">
        <v>4000</v>
      </c>
      <c r="D19" s="63">
        <v>57788</v>
      </c>
      <c r="E19" s="67" t="s">
        <v>26</v>
      </c>
      <c r="F19">
        <f t="shared" si="1"/>
        <v>4000</v>
      </c>
      <c r="P19" t="str">
        <f t="shared" si="0"/>
        <v>200912</v>
      </c>
    </row>
    <row r="20" spans="1:16" ht="12.75">
      <c r="A20" s="62">
        <v>40280</v>
      </c>
      <c r="B20" s="65" t="s">
        <v>408</v>
      </c>
      <c r="C20" s="66">
        <v>1300</v>
      </c>
      <c r="D20" s="63">
        <v>57820</v>
      </c>
      <c r="E20" s="67" t="s">
        <v>26</v>
      </c>
      <c r="F20">
        <f t="shared" si="1"/>
        <v>1300</v>
      </c>
      <c r="P20" t="str">
        <f t="shared" si="0"/>
        <v>20104</v>
      </c>
    </row>
    <row r="21" spans="1:16" ht="12.75">
      <c r="A21" s="62">
        <v>40590</v>
      </c>
      <c r="B21" s="65" t="s">
        <v>409</v>
      </c>
      <c r="C21" s="66">
        <v>-750</v>
      </c>
      <c r="D21" s="63">
        <v>58610</v>
      </c>
      <c r="E21" s="67" t="s">
        <v>26</v>
      </c>
      <c r="F21">
        <f t="shared" si="1"/>
        <v>-750</v>
      </c>
      <c r="P21" t="str">
        <f t="shared" si="0"/>
        <v>20112</v>
      </c>
    </row>
    <row r="22" spans="1:16" ht="12.75">
      <c r="A22" s="62">
        <v>40602</v>
      </c>
      <c r="B22" s="65" t="s">
        <v>335</v>
      </c>
      <c r="C22" s="66">
        <v>1370</v>
      </c>
      <c r="D22" s="63">
        <v>244100</v>
      </c>
      <c r="E22" s="67" t="s">
        <v>26</v>
      </c>
      <c r="F22">
        <f t="shared" si="1"/>
        <v>1370</v>
      </c>
      <c r="P22" t="str">
        <f t="shared" si="0"/>
        <v>20112</v>
      </c>
    </row>
    <row r="23" spans="1:16" ht="12.75">
      <c r="A23" s="62">
        <v>40615</v>
      </c>
      <c r="B23" s="65" t="s">
        <v>357</v>
      </c>
      <c r="C23" s="66">
        <v>60</v>
      </c>
      <c r="D23" s="63"/>
      <c r="E23" s="67" t="s">
        <v>26</v>
      </c>
      <c r="F23">
        <f t="shared" si="1"/>
        <v>60</v>
      </c>
      <c r="P23" t="str">
        <f t="shared" si="0"/>
        <v>20113</v>
      </c>
    </row>
    <row r="24" spans="1:16" ht="12.75">
      <c r="A24" s="62">
        <v>40280</v>
      </c>
      <c r="B24" s="65" t="s">
        <v>347</v>
      </c>
      <c r="C24" s="66">
        <v>1500</v>
      </c>
      <c r="D24" s="63">
        <v>60201</v>
      </c>
      <c r="E24" s="67" t="s">
        <v>26</v>
      </c>
      <c r="F24">
        <f t="shared" si="1"/>
        <v>1500</v>
      </c>
      <c r="P24" t="str">
        <f t="shared" si="0"/>
        <v>20104</v>
      </c>
    </row>
    <row r="25" spans="1:16" ht="12.75">
      <c r="A25" s="62">
        <v>40030</v>
      </c>
      <c r="B25" s="65" t="s">
        <v>416</v>
      </c>
      <c r="C25" s="66">
        <v>3200</v>
      </c>
      <c r="D25" s="63">
        <v>60395</v>
      </c>
      <c r="E25" s="67"/>
      <c r="F25">
        <f t="shared" si="1"/>
        <v>0</v>
      </c>
      <c r="P25" t="str">
        <f t="shared" si="0"/>
        <v>20098</v>
      </c>
    </row>
    <row r="26" spans="1:16" ht="12.75">
      <c r="A26" s="62">
        <v>40033</v>
      </c>
      <c r="B26" s="65" t="s">
        <v>252</v>
      </c>
      <c r="C26" s="66">
        <v>200</v>
      </c>
      <c r="D26" s="63">
        <v>60636</v>
      </c>
      <c r="E26" s="67"/>
      <c r="F26">
        <f t="shared" si="1"/>
        <v>0</v>
      </c>
      <c r="P26" t="str">
        <f t="shared" si="0"/>
        <v>20098</v>
      </c>
    </row>
    <row r="27" spans="1:16" ht="12.75">
      <c r="A27" s="62">
        <v>40038</v>
      </c>
      <c r="B27" s="65" t="s">
        <v>252</v>
      </c>
      <c r="C27" s="66">
        <v>550</v>
      </c>
      <c r="D27" s="63">
        <v>60950</v>
      </c>
      <c r="E27" s="67"/>
      <c r="F27">
        <f t="shared" si="1"/>
        <v>0</v>
      </c>
      <c r="P27" t="str">
        <f t="shared" si="0"/>
        <v>20098</v>
      </c>
    </row>
    <row r="28" spans="1:16" ht="12.75">
      <c r="A28" s="62">
        <v>40046</v>
      </c>
      <c r="B28" s="65" t="s">
        <v>252</v>
      </c>
      <c r="C28" s="66">
        <v>200</v>
      </c>
      <c r="D28" s="63">
        <v>61526</v>
      </c>
      <c r="E28" s="67"/>
      <c r="F28">
        <f t="shared" si="1"/>
        <v>0</v>
      </c>
      <c r="P28" t="str">
        <f t="shared" si="0"/>
        <v>20098</v>
      </c>
    </row>
    <row r="29" spans="1:16" ht="12.75">
      <c r="A29" s="62">
        <v>40059</v>
      </c>
      <c r="B29" s="65" t="s">
        <v>129</v>
      </c>
      <c r="C29" s="66">
        <v>450</v>
      </c>
      <c r="D29" s="63">
        <v>63720</v>
      </c>
      <c r="E29" s="67"/>
      <c r="F29">
        <f t="shared" si="1"/>
        <v>0</v>
      </c>
      <c r="P29" t="str">
        <f t="shared" si="0"/>
        <v>20099</v>
      </c>
    </row>
    <row r="30" spans="1:16" ht="12.75">
      <c r="A30" s="62">
        <v>40065</v>
      </c>
      <c r="B30" s="65" t="s">
        <v>271</v>
      </c>
      <c r="C30" s="66">
        <v>200</v>
      </c>
      <c r="D30" s="63">
        <v>63200</v>
      </c>
      <c r="E30" s="67"/>
      <c r="F30">
        <f t="shared" si="1"/>
        <v>0</v>
      </c>
      <c r="P30" t="str">
        <f t="shared" si="0"/>
        <v>20099</v>
      </c>
    </row>
    <row r="31" spans="1:16" ht="12.75">
      <c r="A31" s="62">
        <v>40093</v>
      </c>
      <c r="B31" s="65" t="s">
        <v>129</v>
      </c>
      <c r="C31" s="66">
        <v>320</v>
      </c>
      <c r="D31" s="63">
        <v>63800</v>
      </c>
      <c r="E31" s="67"/>
      <c r="F31">
        <f t="shared" si="1"/>
        <v>0</v>
      </c>
      <c r="P31" t="str">
        <f t="shared" si="0"/>
        <v>200910</v>
      </c>
    </row>
    <row r="32" spans="1:16" ht="12.75">
      <c r="A32" s="62">
        <v>40101</v>
      </c>
      <c r="B32" s="65" t="s">
        <v>129</v>
      </c>
      <c r="C32" s="66">
        <v>220</v>
      </c>
      <c r="D32" s="63">
        <v>64470</v>
      </c>
      <c r="E32" s="67"/>
      <c r="F32">
        <f t="shared" si="1"/>
        <v>0</v>
      </c>
      <c r="P32" t="str">
        <f t="shared" si="0"/>
        <v>200910</v>
      </c>
    </row>
    <row r="33" spans="1:16" ht="12.75">
      <c r="A33" s="62">
        <v>40127</v>
      </c>
      <c r="B33" s="65" t="s">
        <v>129</v>
      </c>
      <c r="C33" s="66">
        <v>370</v>
      </c>
      <c r="D33" s="63">
        <v>65440</v>
      </c>
      <c r="E33" s="67"/>
      <c r="F33">
        <f t="shared" si="1"/>
        <v>0</v>
      </c>
      <c r="P33" t="str">
        <f t="shared" si="0"/>
        <v>200911</v>
      </c>
    </row>
    <row r="34" spans="1:16" ht="12.75">
      <c r="A34" s="62">
        <v>40156</v>
      </c>
      <c r="B34" s="65" t="s">
        <v>48</v>
      </c>
      <c r="C34" s="66">
        <v>1840</v>
      </c>
      <c r="D34" s="63">
        <v>67000</v>
      </c>
      <c r="E34" s="67"/>
      <c r="F34">
        <f t="shared" si="1"/>
        <v>0</v>
      </c>
      <c r="P34" t="str">
        <f t="shared" si="0"/>
        <v>200912</v>
      </c>
    </row>
    <row r="35" spans="1:16" ht="12.75">
      <c r="A35" s="62">
        <v>40189</v>
      </c>
      <c r="B35" s="65" t="s">
        <v>30</v>
      </c>
      <c r="C35" s="66">
        <v>1400</v>
      </c>
      <c r="D35" s="63">
        <v>68300</v>
      </c>
      <c r="E35" s="67"/>
      <c r="F35">
        <f aca="true" t="shared" si="2" ref="F35:F74">IF(E35="+",C35,0)</f>
        <v>0</v>
      </c>
      <c r="P35" t="str">
        <f t="shared" si="0"/>
        <v>20101</v>
      </c>
    </row>
    <row r="36" spans="1:17" ht="12.75">
      <c r="A36" s="62">
        <v>40224</v>
      </c>
      <c r="B36" s="65" t="s">
        <v>415</v>
      </c>
      <c r="C36" s="66">
        <v>1330</v>
      </c>
      <c r="D36" s="63">
        <v>69802</v>
      </c>
      <c r="E36" s="67"/>
      <c r="F36">
        <f t="shared" si="2"/>
        <v>0</v>
      </c>
      <c r="P36" t="str">
        <f t="shared" si="0"/>
        <v>20102</v>
      </c>
      <c r="Q36" t="s">
        <v>312</v>
      </c>
    </row>
    <row r="37" spans="1:16" ht="12.75">
      <c r="A37" s="62"/>
      <c r="B37" s="65"/>
      <c r="C37" s="66"/>
      <c r="D37" s="63"/>
      <c r="E37" s="67"/>
      <c r="F37">
        <f t="shared" si="2"/>
        <v>0</v>
      </c>
      <c r="P37">
        <f t="shared" si="0"/>
        <v>0</v>
      </c>
    </row>
    <row r="38" spans="1:16" ht="12.75">
      <c r="A38" s="62"/>
      <c r="B38" s="65"/>
      <c r="C38" s="66"/>
      <c r="D38" s="63"/>
      <c r="E38" s="67"/>
      <c r="F38">
        <f t="shared" si="2"/>
        <v>0</v>
      </c>
      <c r="P38">
        <f t="shared" si="0"/>
        <v>0</v>
      </c>
    </row>
    <row r="39" spans="1:16" ht="12.75">
      <c r="A39" s="62"/>
      <c r="B39" s="65"/>
      <c r="C39" s="66"/>
      <c r="D39" s="63"/>
      <c r="E39" s="67"/>
      <c r="F39">
        <f t="shared" si="2"/>
        <v>0</v>
      </c>
      <c r="P39">
        <f t="shared" si="0"/>
        <v>0</v>
      </c>
    </row>
    <row r="40" spans="1:16" ht="12.75">
      <c r="A40" s="62"/>
      <c r="B40" s="65"/>
      <c r="C40" s="66"/>
      <c r="D40" s="63"/>
      <c r="E40" s="67"/>
      <c r="F40">
        <f t="shared" si="2"/>
        <v>0</v>
      </c>
      <c r="P40">
        <f t="shared" si="0"/>
        <v>0</v>
      </c>
    </row>
    <row r="41" spans="1:16" ht="12.75">
      <c r="A41" s="62"/>
      <c r="B41" s="65"/>
      <c r="C41" s="66"/>
      <c r="D41" s="63"/>
      <c r="E41" s="67"/>
      <c r="F41">
        <f t="shared" si="2"/>
        <v>0</v>
      </c>
      <c r="P41">
        <f t="shared" si="0"/>
        <v>0</v>
      </c>
    </row>
    <row r="42" spans="1:16" ht="12.75">
      <c r="A42" s="62"/>
      <c r="B42" s="65"/>
      <c r="C42" s="66"/>
      <c r="D42" s="63"/>
      <c r="E42" s="67"/>
      <c r="F42">
        <f t="shared" si="2"/>
        <v>0</v>
      </c>
      <c r="P42">
        <f t="shared" si="0"/>
        <v>0</v>
      </c>
    </row>
    <row r="43" spans="1:16" ht="12.75">
      <c r="A43" s="62"/>
      <c r="B43" s="65"/>
      <c r="C43" s="66"/>
      <c r="D43" s="63"/>
      <c r="E43" s="67"/>
      <c r="F43">
        <f t="shared" si="2"/>
        <v>0</v>
      </c>
      <c r="P43">
        <f t="shared" si="0"/>
        <v>0</v>
      </c>
    </row>
    <row r="44" spans="1:16" ht="12.75">
      <c r="A44" s="62"/>
      <c r="B44" s="65"/>
      <c r="C44" s="66"/>
      <c r="D44" s="63"/>
      <c r="E44" s="67"/>
      <c r="F44">
        <f t="shared" si="2"/>
        <v>0</v>
      </c>
      <c r="P44">
        <f t="shared" si="0"/>
        <v>0</v>
      </c>
    </row>
    <row r="45" spans="1:16" ht="12.75">
      <c r="A45" s="62"/>
      <c r="B45" s="65"/>
      <c r="C45" s="66"/>
      <c r="D45" s="63"/>
      <c r="E45" s="67"/>
      <c r="F45">
        <f t="shared" si="2"/>
        <v>0</v>
      </c>
      <c r="P45">
        <f t="shared" si="0"/>
        <v>0</v>
      </c>
    </row>
    <row r="46" spans="1:16" ht="12.75">
      <c r="A46" s="62"/>
      <c r="B46" s="65"/>
      <c r="C46" s="66"/>
      <c r="D46" s="63"/>
      <c r="E46" s="67"/>
      <c r="F46">
        <f t="shared" si="2"/>
        <v>0</v>
      </c>
      <c r="P46">
        <f t="shared" si="0"/>
        <v>0</v>
      </c>
    </row>
    <row r="47" spans="1:16" ht="12.75">
      <c r="A47" s="62"/>
      <c r="B47" s="65"/>
      <c r="C47" s="66"/>
      <c r="D47" s="63"/>
      <c r="E47" s="67"/>
      <c r="F47">
        <f t="shared" si="2"/>
        <v>0</v>
      </c>
      <c r="P47">
        <f t="shared" si="0"/>
        <v>0</v>
      </c>
    </row>
    <row r="48" spans="1:16" ht="12.75">
      <c r="A48" s="62"/>
      <c r="B48" s="65"/>
      <c r="C48" s="66"/>
      <c r="D48" s="63"/>
      <c r="E48" s="67"/>
      <c r="F48">
        <f t="shared" si="2"/>
        <v>0</v>
      </c>
      <c r="P48">
        <f t="shared" si="0"/>
        <v>0</v>
      </c>
    </row>
    <row r="49" spans="1:16" ht="12.75">
      <c r="A49" s="62"/>
      <c r="B49" s="65"/>
      <c r="C49" s="66"/>
      <c r="D49" s="63"/>
      <c r="E49" s="67"/>
      <c r="F49">
        <f t="shared" si="2"/>
        <v>0</v>
      </c>
      <c r="P49">
        <f t="shared" si="0"/>
        <v>0</v>
      </c>
    </row>
    <row r="50" spans="1:16" ht="12.75">
      <c r="A50" s="62"/>
      <c r="B50" s="65"/>
      <c r="C50" s="66"/>
      <c r="D50" s="63"/>
      <c r="E50" s="67"/>
      <c r="F50">
        <f t="shared" si="2"/>
        <v>0</v>
      </c>
      <c r="P50">
        <f t="shared" si="0"/>
        <v>0</v>
      </c>
    </row>
    <row r="51" spans="1:16" ht="12.75">
      <c r="A51" s="62"/>
      <c r="B51" s="65"/>
      <c r="C51" s="66"/>
      <c r="D51" s="63"/>
      <c r="E51" s="67"/>
      <c r="F51">
        <f t="shared" si="2"/>
        <v>0</v>
      </c>
      <c r="P51">
        <f t="shared" si="0"/>
        <v>0</v>
      </c>
    </row>
    <row r="52" spans="1:16" ht="12.75">
      <c r="A52" s="62"/>
      <c r="B52" s="65"/>
      <c r="C52" s="66"/>
      <c r="D52" s="63"/>
      <c r="E52" s="67"/>
      <c r="F52">
        <f t="shared" si="2"/>
        <v>0</v>
      </c>
      <c r="P52">
        <f t="shared" si="0"/>
        <v>0</v>
      </c>
    </row>
    <row r="53" spans="1:16" ht="12.75">
      <c r="A53" s="62"/>
      <c r="B53" s="65"/>
      <c r="C53" s="66"/>
      <c r="D53" s="63"/>
      <c r="E53" s="67"/>
      <c r="F53">
        <f t="shared" si="2"/>
        <v>0</v>
      </c>
      <c r="P53">
        <f t="shared" si="0"/>
        <v>0</v>
      </c>
    </row>
    <row r="54" spans="1:16" ht="12.75">
      <c r="A54" s="62"/>
      <c r="B54" s="65"/>
      <c r="C54" s="66"/>
      <c r="D54" s="63"/>
      <c r="E54" s="67"/>
      <c r="F54">
        <f t="shared" si="2"/>
        <v>0</v>
      </c>
      <c r="P54">
        <f t="shared" si="0"/>
        <v>0</v>
      </c>
    </row>
    <row r="55" spans="1:16" ht="12.75">
      <c r="A55" s="62"/>
      <c r="B55" s="65"/>
      <c r="C55" s="66"/>
      <c r="D55" s="63"/>
      <c r="E55" s="67"/>
      <c r="F55">
        <f t="shared" si="2"/>
        <v>0</v>
      </c>
      <c r="P55">
        <f t="shared" si="0"/>
        <v>0</v>
      </c>
    </row>
    <row r="56" spans="1:16" ht="12.75">
      <c r="A56" s="62"/>
      <c r="B56" s="65"/>
      <c r="C56" s="66"/>
      <c r="D56" s="63"/>
      <c r="E56" s="67"/>
      <c r="F56">
        <f t="shared" si="2"/>
        <v>0</v>
      </c>
      <c r="P56">
        <f t="shared" si="0"/>
        <v>0</v>
      </c>
    </row>
    <row r="57" spans="1:16" ht="12.75">
      <c r="A57" s="62"/>
      <c r="B57" s="65"/>
      <c r="C57" s="66"/>
      <c r="D57" s="63"/>
      <c r="E57" s="67"/>
      <c r="F57">
        <f t="shared" si="2"/>
        <v>0</v>
      </c>
      <c r="P57">
        <f t="shared" si="0"/>
        <v>0</v>
      </c>
    </row>
    <row r="58" spans="1:16" ht="12.75">
      <c r="A58" s="62"/>
      <c r="B58" s="65"/>
      <c r="C58" s="66"/>
      <c r="D58" s="63"/>
      <c r="E58" s="67"/>
      <c r="F58">
        <f t="shared" si="2"/>
        <v>0</v>
      </c>
      <c r="P58">
        <f t="shared" si="0"/>
        <v>0</v>
      </c>
    </row>
    <row r="59" spans="1:16" ht="12.75">
      <c r="A59" s="62"/>
      <c r="B59" s="65"/>
      <c r="C59" s="66"/>
      <c r="D59" s="63"/>
      <c r="E59" s="67"/>
      <c r="F59">
        <f t="shared" si="2"/>
        <v>0</v>
      </c>
      <c r="P59">
        <f t="shared" si="0"/>
        <v>0</v>
      </c>
    </row>
    <row r="60" spans="1:16" ht="12.75">
      <c r="A60" s="62"/>
      <c r="B60" s="65"/>
      <c r="C60" s="66"/>
      <c r="D60" s="63"/>
      <c r="E60" s="67"/>
      <c r="F60">
        <f t="shared" si="2"/>
        <v>0</v>
      </c>
      <c r="P60">
        <f t="shared" si="0"/>
        <v>0</v>
      </c>
    </row>
    <row r="61" spans="1:16" ht="12.75">
      <c r="A61" s="62"/>
      <c r="B61" s="65"/>
      <c r="C61" s="66"/>
      <c r="D61" s="63"/>
      <c r="E61" s="67"/>
      <c r="F61">
        <f t="shared" si="2"/>
        <v>0</v>
      </c>
      <c r="P61">
        <f t="shared" si="0"/>
        <v>0</v>
      </c>
    </row>
    <row r="62" spans="1:16" ht="12.75">
      <c r="A62" s="62"/>
      <c r="B62" s="65"/>
      <c r="C62" s="66"/>
      <c r="D62" s="63"/>
      <c r="E62" s="67"/>
      <c r="F62">
        <f t="shared" si="2"/>
        <v>0</v>
      </c>
      <c r="P62">
        <f t="shared" si="0"/>
        <v>0</v>
      </c>
    </row>
    <row r="63" spans="1:16" ht="12.75">
      <c r="A63" s="62"/>
      <c r="B63" s="65"/>
      <c r="C63" s="66"/>
      <c r="D63" s="63"/>
      <c r="E63" s="67"/>
      <c r="F63">
        <f t="shared" si="2"/>
        <v>0</v>
      </c>
      <c r="P63">
        <f t="shared" si="0"/>
        <v>0</v>
      </c>
    </row>
    <row r="64" spans="1:16" ht="12.75">
      <c r="A64" s="62"/>
      <c r="B64" s="65"/>
      <c r="C64" s="66"/>
      <c r="D64" s="63"/>
      <c r="E64" s="67"/>
      <c r="F64">
        <f t="shared" si="2"/>
        <v>0</v>
      </c>
      <c r="P64">
        <f t="shared" si="0"/>
        <v>0</v>
      </c>
    </row>
    <row r="65" spans="1:16" ht="12.75">
      <c r="A65" s="62"/>
      <c r="B65" s="65"/>
      <c r="C65" s="66"/>
      <c r="D65" s="63"/>
      <c r="E65" s="67"/>
      <c r="F65">
        <f t="shared" si="2"/>
        <v>0</v>
      </c>
      <c r="P65">
        <f t="shared" si="0"/>
        <v>0</v>
      </c>
    </row>
    <row r="66" spans="1:16" ht="12.75">
      <c r="A66" s="62"/>
      <c r="B66" s="65"/>
      <c r="C66" s="66"/>
      <c r="D66" s="63"/>
      <c r="E66" s="67"/>
      <c r="F66">
        <f t="shared" si="2"/>
        <v>0</v>
      </c>
      <c r="P66">
        <f t="shared" si="0"/>
        <v>0</v>
      </c>
    </row>
    <row r="67" spans="1:16" ht="12.75">
      <c r="A67" s="62"/>
      <c r="B67" s="65"/>
      <c r="C67" s="66"/>
      <c r="D67" s="63"/>
      <c r="E67" s="67"/>
      <c r="F67">
        <f t="shared" si="2"/>
        <v>0</v>
      </c>
      <c r="P67">
        <f t="shared" si="0"/>
        <v>0</v>
      </c>
    </row>
    <row r="68" spans="1:16" ht="12.75">
      <c r="A68" s="62"/>
      <c r="B68" s="65"/>
      <c r="C68" s="66"/>
      <c r="D68" s="63"/>
      <c r="E68" s="67"/>
      <c r="F68">
        <f t="shared" si="2"/>
        <v>0</v>
      </c>
      <c r="P68">
        <f t="shared" si="0"/>
        <v>0</v>
      </c>
    </row>
    <row r="69" spans="1:16" ht="12.75">
      <c r="A69" s="62"/>
      <c r="B69" s="65"/>
      <c r="C69" s="66"/>
      <c r="D69" s="63"/>
      <c r="E69" s="67"/>
      <c r="F69">
        <f t="shared" si="2"/>
        <v>0</v>
      </c>
      <c r="P69">
        <f t="shared" si="0"/>
        <v>0</v>
      </c>
    </row>
    <row r="70" spans="1:16" ht="12.75">
      <c r="A70" s="62"/>
      <c r="B70" s="65"/>
      <c r="C70" s="66"/>
      <c r="D70" s="63"/>
      <c r="E70" s="67"/>
      <c r="F70">
        <f t="shared" si="2"/>
        <v>0</v>
      </c>
      <c r="P70">
        <f t="shared" si="0"/>
        <v>0</v>
      </c>
    </row>
    <row r="71" spans="1:16" ht="12.75">
      <c r="A71" s="62"/>
      <c r="B71" s="65"/>
      <c r="C71" s="66"/>
      <c r="D71" s="63"/>
      <c r="E71" s="67"/>
      <c r="F71">
        <f t="shared" si="2"/>
        <v>0</v>
      </c>
      <c r="P71">
        <f t="shared" si="0"/>
        <v>0</v>
      </c>
    </row>
    <row r="72" spans="1:5" ht="12.75">
      <c r="A72" s="62"/>
      <c r="B72" s="65"/>
      <c r="C72" s="66"/>
      <c r="D72" s="63"/>
      <c r="E72" s="67"/>
    </row>
    <row r="73" spans="1:16" ht="12.75">
      <c r="A73" s="62"/>
      <c r="B73" s="65"/>
      <c r="C73" s="66"/>
      <c r="D73" s="63"/>
      <c r="E73" s="67"/>
      <c r="F73">
        <f t="shared" si="2"/>
        <v>0</v>
      </c>
      <c r="P73">
        <f t="shared" si="0"/>
        <v>0</v>
      </c>
    </row>
    <row r="74" spans="1:16" ht="12.75">
      <c r="A74" s="62"/>
      <c r="B74" s="65"/>
      <c r="C74" s="66"/>
      <c r="D74" s="63"/>
      <c r="E74" s="67"/>
      <c r="F74">
        <f t="shared" si="2"/>
        <v>0</v>
      </c>
      <c r="P74">
        <f t="shared" si="0"/>
        <v>0</v>
      </c>
    </row>
    <row r="75" spans="3:6" ht="12.75">
      <c r="C75" s="24">
        <f>SUM(C4:C74)</f>
        <v>39228</v>
      </c>
      <c r="F75" s="23">
        <f>SUM(F4:F74)</f>
        <v>30143</v>
      </c>
    </row>
    <row r="81" ht="12.75">
      <c r="D81" s="16">
        <f>C$2:C$65536</f>
        <v>0</v>
      </c>
    </row>
  </sheetData>
  <sheetProtection/>
  <autoFilter ref="A1:E75"/>
  <conditionalFormatting sqref="F75 D76 D24:D74 A24:C76 A3:D23">
    <cfRule type="expression" priority="1" dxfId="5" stopIfTrue="1">
      <formula>$E3&lt;&gt;"+"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R49"/>
  <sheetViews>
    <sheetView showGridLine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J40" sqref="J40"/>
    </sheetView>
  </sheetViews>
  <sheetFormatPr defaultColWidth="9.00390625" defaultRowHeight="12.75"/>
  <cols>
    <col min="1" max="1" width="7.75390625" style="0" customWidth="1"/>
    <col min="2" max="5" width="8.25390625" style="0" customWidth="1"/>
    <col min="6" max="6" width="10.125" style="0" customWidth="1"/>
    <col min="7" max="8" width="8.25390625" style="0" customWidth="1"/>
    <col min="9" max="9" width="2.125" style="0" customWidth="1"/>
    <col min="10" max="10" width="11.625" style="0" customWidth="1"/>
    <col min="11" max="11" width="2.125" style="0" customWidth="1"/>
    <col min="12" max="12" width="9.125" style="54" customWidth="1"/>
  </cols>
  <sheetData>
    <row r="1" spans="1:13" ht="12.75">
      <c r="A1" s="32"/>
      <c r="B1" s="33" t="s">
        <v>31</v>
      </c>
      <c r="C1" s="33" t="s">
        <v>52</v>
      </c>
      <c r="D1" s="33" t="s">
        <v>49</v>
      </c>
      <c r="E1" s="33" t="s">
        <v>32</v>
      </c>
      <c r="F1" s="33" t="s">
        <v>33</v>
      </c>
      <c r="G1" s="33" t="s">
        <v>34</v>
      </c>
      <c r="H1" s="33" t="s">
        <v>35</v>
      </c>
      <c r="J1" s="8" t="s">
        <v>36</v>
      </c>
      <c r="L1" s="34" t="s">
        <v>6</v>
      </c>
      <c r="M1" s="34" t="s">
        <v>6</v>
      </c>
    </row>
    <row r="2" spans="1:18" ht="60.75" thickBot="1">
      <c r="A2" s="38"/>
      <c r="B2" s="39">
        <f>SUMIF(Бензин!$Q$3:$Q$1131,"200812",Бензин!$D$3:$D$1131)</f>
        <v>0</v>
      </c>
      <c r="C2" s="140">
        <f>SUMIF(Запчасти!$P$3:$P$168,"200812",Запчасти!$F$3:$F$168)</f>
        <v>0</v>
      </c>
      <c r="D2" s="39">
        <f>SUMIF(Работы!$Q$3:$Q$1132,"200812",Работы!$F$3:$F$1132)</f>
        <v>0</v>
      </c>
      <c r="E2" s="39">
        <f>SUMIF(Другое!$P$4:$P$111,"200812",Другое!$F$4:$F$111)</f>
        <v>0</v>
      </c>
      <c r="F2" s="40">
        <f aca="true" t="shared" si="0" ref="F2:F14">SUM(B2:E2)</f>
        <v>0</v>
      </c>
      <c r="G2" s="59">
        <v>28.07</v>
      </c>
      <c r="H2" s="40">
        <f aca="true" t="shared" si="1" ref="H2:H14">IF(G2&lt;&gt;0,F2/G2,0)</f>
        <v>0</v>
      </c>
      <c r="J2" s="13">
        <v>222793</v>
      </c>
      <c r="L2" s="155" t="s">
        <v>387</v>
      </c>
      <c r="M2" s="155" t="s">
        <v>31</v>
      </c>
      <c r="N2" s="164"/>
      <c r="O2" s="165"/>
      <c r="P2" s="165"/>
      <c r="Q2" s="165"/>
      <c r="R2" s="165"/>
    </row>
    <row r="3" spans="1:13" ht="13.5">
      <c r="A3" s="42" t="s">
        <v>19</v>
      </c>
      <c r="B3" s="13">
        <f>SUMIF(Бензин!$Q$3:$Q$1131,"20091",Бензин!$D$3:$D$1131)</f>
        <v>0</v>
      </c>
      <c r="C3" s="141">
        <f>SUMIF(Запчасти!$P$3:$P$283,"20091",Запчасти!$F$3:$F$283)</f>
        <v>0</v>
      </c>
      <c r="D3" s="13">
        <f>SUMIF(Работы!$Q$3:$Q$1092,"20091",Работы!$F$3:$F$1092)</f>
        <v>0</v>
      </c>
      <c r="E3" s="13">
        <f>SUMIF(Другое!$P$4:$P$141,"20091",Другое!$F$4:$F$141)</f>
        <v>0</v>
      </c>
      <c r="F3" s="43">
        <f t="shared" si="0"/>
        <v>0</v>
      </c>
      <c r="G3" s="60">
        <v>32.31</v>
      </c>
      <c r="H3" s="43">
        <f t="shared" si="1"/>
        <v>0</v>
      </c>
      <c r="J3" s="13">
        <f>Бензин!M29</f>
        <v>0</v>
      </c>
      <c r="L3" s="44">
        <f aca="true" t="shared" si="2" ref="L3:L14">IF(J3&lt;&gt;0,F3/J3,0)</f>
        <v>0</v>
      </c>
      <c r="M3" s="44">
        <f aca="true" t="shared" si="3" ref="M3:M14">IF(J3&lt;&gt;0,H3/J3,0)</f>
        <v>0</v>
      </c>
    </row>
    <row r="4" spans="1:13" ht="13.5">
      <c r="A4" s="35" t="s">
        <v>20</v>
      </c>
      <c r="B4" s="13">
        <f>SUMIF(Бензин!$Q$3:$Q$1131,"20092",Бензин!$D$3:$D$1131)</f>
        <v>0</v>
      </c>
      <c r="C4" s="142">
        <f>SUMIF(Запчасти!$P$3:$P$283,"20092",Запчасти!$F$3:$F$283)</f>
        <v>0</v>
      </c>
      <c r="D4" s="13">
        <f>SUMIF(Работы!$Q$3:$Q$1092,"20092",Работы!$F$3:$F$1092)</f>
        <v>0</v>
      </c>
      <c r="E4" s="13">
        <f>SUMIF(Другое!$P$4:$P$141,"20092",Другое!$F$4:$F$141)</f>
        <v>0</v>
      </c>
      <c r="F4" s="36">
        <f t="shared" si="0"/>
        <v>0</v>
      </c>
      <c r="G4" s="61">
        <v>35.8</v>
      </c>
      <c r="H4" s="36">
        <f t="shared" si="1"/>
        <v>0</v>
      </c>
      <c r="J4" s="11">
        <f>Бензин!M30</f>
        <v>0</v>
      </c>
      <c r="L4" s="37">
        <f t="shared" si="2"/>
        <v>0</v>
      </c>
      <c r="M4" s="37">
        <f t="shared" si="3"/>
        <v>0</v>
      </c>
    </row>
    <row r="5" spans="1:13" ht="13.5">
      <c r="A5" s="35" t="s">
        <v>21</v>
      </c>
      <c r="B5" s="13">
        <f>SUMIF(Бензин!$Q$3:$Q$1131,"20093",Бензин!$D$3:$D$1131)</f>
        <v>0</v>
      </c>
      <c r="C5" s="142">
        <f>SUMIF(Запчасти!$P$3:$P$283,"20093",Запчасти!$F$3:$F$283)</f>
        <v>0</v>
      </c>
      <c r="D5" s="13">
        <f>SUMIF(Работы!$Q$3:$Q$1092,"20093",Работы!$F$3:$F$1092)</f>
        <v>0</v>
      </c>
      <c r="E5" s="13">
        <f>SUMIF(Другое!$P$4:$P$141,"20093",Другое!$F$4:$F$141)</f>
        <v>0</v>
      </c>
      <c r="F5" s="36">
        <f t="shared" si="0"/>
        <v>0</v>
      </c>
      <c r="G5" s="61">
        <v>34.74</v>
      </c>
      <c r="H5" s="36">
        <f t="shared" si="1"/>
        <v>0</v>
      </c>
      <c r="J5" s="11">
        <f>Бензин!M31</f>
        <v>0</v>
      </c>
      <c r="L5" s="37">
        <f t="shared" si="2"/>
        <v>0</v>
      </c>
      <c r="M5" s="37">
        <f t="shared" si="3"/>
        <v>0</v>
      </c>
    </row>
    <row r="6" spans="1:18" ht="13.5">
      <c r="A6" s="35" t="s">
        <v>22</v>
      </c>
      <c r="B6" s="13">
        <f>SUMIF(Бензин!$Q$3:$Q$1131,"20094",Бензин!$D$3:$D$1131)</f>
        <v>0</v>
      </c>
      <c r="C6" s="142">
        <f>SUMIF(Запчасти!$P$3:$P$283,"20094",Запчасти!$F$3:$F$283)</f>
        <v>0</v>
      </c>
      <c r="D6" s="13">
        <f>SUMIF(Работы!$Q$3:$Q$1092,"20094",Работы!$F$3:$F$1092)</f>
        <v>0</v>
      </c>
      <c r="E6" s="13">
        <f>SUMIF(Другое!$P$4:$P$141,"20094",Другое!$F$4:$F$141)</f>
        <v>0</v>
      </c>
      <c r="F6" s="36">
        <f t="shared" si="0"/>
        <v>0</v>
      </c>
      <c r="G6" s="61">
        <v>33.58</v>
      </c>
      <c r="H6" s="36">
        <f t="shared" si="1"/>
        <v>0</v>
      </c>
      <c r="J6" s="11">
        <f>Бензин!M32</f>
        <v>0</v>
      </c>
      <c r="L6" s="37">
        <f t="shared" si="2"/>
        <v>0</v>
      </c>
      <c r="M6" s="37">
        <f t="shared" si="3"/>
        <v>0</v>
      </c>
      <c r="N6" s="164">
        <v>2009</v>
      </c>
      <c r="O6" s="165"/>
      <c r="P6" s="165"/>
      <c r="Q6" s="165"/>
      <c r="R6" s="165"/>
    </row>
    <row r="7" spans="1:18" ht="13.5" customHeight="1">
      <c r="A7" s="35" t="s">
        <v>11</v>
      </c>
      <c r="B7" s="13">
        <f>SUMIF(Бензин!$Q$3:$Q$1131,"20095",Бензин!$D$3:$D$1131)</f>
        <v>0</v>
      </c>
      <c r="C7" s="102">
        <f>SUMIF(Запчасти!$P$3:$P$283,"20095",Запчасти!$F$3:$F$283)</f>
        <v>5000</v>
      </c>
      <c r="D7" s="13">
        <f>SUMIF(Работы!$Q$3:$Q$1092,"20095",Работы!$F$3:$F$1092)</f>
        <v>0</v>
      </c>
      <c r="E7" s="13">
        <f>SUMIF(Другое!$P$4:$P$141,"20095",Другое!$F$4:$F$141)</f>
        <v>0</v>
      </c>
      <c r="F7" s="36">
        <f t="shared" si="0"/>
        <v>5000</v>
      </c>
      <c r="G7" s="61">
        <v>32.05</v>
      </c>
      <c r="H7" s="36">
        <f t="shared" si="1"/>
        <v>156.00624024961</v>
      </c>
      <c r="J7" s="11">
        <f>Бензин!M33</f>
        <v>0</v>
      </c>
      <c r="L7" s="37">
        <f t="shared" si="2"/>
        <v>0</v>
      </c>
      <c r="M7" s="37">
        <f t="shared" si="3"/>
        <v>0</v>
      </c>
      <c r="N7" s="164"/>
      <c r="O7" s="165"/>
      <c r="P7" s="165"/>
      <c r="Q7" s="165"/>
      <c r="R7" s="165"/>
    </row>
    <row r="8" spans="1:18" ht="13.5" customHeight="1">
      <c r="A8" s="35" t="s">
        <v>12</v>
      </c>
      <c r="B8" s="13">
        <f>SUMIF(Бензин!$Q$3:$Q$1131,"20096",Бензин!$D$3:$D$1131)</f>
        <v>0</v>
      </c>
      <c r="C8" s="142">
        <f>SUMIF(Запчасти!$P$3:$P$283,"20096",Запчасти!$F$3:$F$283)</f>
        <v>200</v>
      </c>
      <c r="D8" s="13">
        <f>SUMIF(Работы!$Q$3:$Q$1092,"20096",Работы!$F$3:$F$1092)</f>
        <v>0</v>
      </c>
      <c r="E8" s="13">
        <f>SUMIF(Другое!$P$4:$P$141,"20096",Другое!$F$4:$F$141)</f>
        <v>0</v>
      </c>
      <c r="F8" s="36">
        <f t="shared" si="0"/>
        <v>200</v>
      </c>
      <c r="G8" s="61">
        <v>31.05</v>
      </c>
      <c r="H8" s="36">
        <f t="shared" si="1"/>
        <v>6.4412238325281805</v>
      </c>
      <c r="J8" s="11">
        <f>Бензин!M34</f>
        <v>0</v>
      </c>
      <c r="L8" s="37">
        <f t="shared" si="2"/>
        <v>0</v>
      </c>
      <c r="M8" s="37">
        <f t="shared" si="3"/>
        <v>0</v>
      </c>
      <c r="N8" s="164"/>
      <c r="O8" s="165"/>
      <c r="P8" s="165"/>
      <c r="Q8" s="165"/>
      <c r="R8" s="165"/>
    </row>
    <row r="9" spans="1:18" ht="13.5" customHeight="1">
      <c r="A9" s="35" t="s">
        <v>13</v>
      </c>
      <c r="B9" s="13">
        <f>SUMIF(Бензин!$Q$3:$Q$1131,"20097",Бензин!$D$3:$D$1131)</f>
        <v>0</v>
      </c>
      <c r="C9" s="142">
        <f>SUMIF(Запчасти!$P$3:$P$283,"20097",Запчасти!$F$3:$F$283)</f>
        <v>4250</v>
      </c>
      <c r="D9" s="13">
        <f>SUMIF(Работы!$Q$3:$Q$1092,"20097",Работы!$F$3:$F$1092)</f>
        <v>750</v>
      </c>
      <c r="E9" s="13">
        <f>SUMIF(Другое!$P$4:$P$141,"20097",Другое!$F$4:$F$141)</f>
        <v>3060</v>
      </c>
      <c r="F9" s="36">
        <f t="shared" si="0"/>
        <v>8060</v>
      </c>
      <c r="G9" s="61">
        <v>31.51</v>
      </c>
      <c r="H9" s="36">
        <f t="shared" si="1"/>
        <v>255.7918121231355</v>
      </c>
      <c r="J9" s="11">
        <f>Бензин!M35</f>
        <v>0</v>
      </c>
      <c r="L9" s="37">
        <f t="shared" si="2"/>
        <v>0</v>
      </c>
      <c r="M9" s="37">
        <f t="shared" si="3"/>
        <v>0</v>
      </c>
      <c r="N9" s="164"/>
      <c r="O9" s="165"/>
      <c r="P9" s="165"/>
      <c r="Q9" s="165"/>
      <c r="R9" s="165"/>
    </row>
    <row r="10" spans="1:18" ht="13.5" customHeight="1">
      <c r="A10" s="35" t="s">
        <v>14</v>
      </c>
      <c r="B10" s="13">
        <f>SUMIF(Бензин!$Q$3:$Q$1131,"20098",Бензин!$D$3:$D$1131)</f>
        <v>0</v>
      </c>
      <c r="C10" s="143">
        <f>SUMIF(Запчасти!$P$3:$P$283,"20098",Запчасти!$F$3:$F$283)</f>
        <v>0</v>
      </c>
      <c r="D10" s="13">
        <f>SUMIF(Работы!$Q$3:$Q$1092,"20098",Работы!$F$3:$F$1092)</f>
        <v>0</v>
      </c>
      <c r="E10" s="13">
        <f>SUMIF(Другое!$P$4:$P$141,"20098",Другое!$F$4:$F$141)</f>
        <v>0</v>
      </c>
      <c r="F10" s="36">
        <f t="shared" si="0"/>
        <v>0</v>
      </c>
      <c r="G10" s="61">
        <v>31.65</v>
      </c>
      <c r="H10" s="36">
        <f t="shared" si="1"/>
        <v>0</v>
      </c>
      <c r="J10" s="11">
        <f>Бензин!M36</f>
        <v>0</v>
      </c>
      <c r="L10" s="37">
        <f t="shared" si="2"/>
        <v>0</v>
      </c>
      <c r="M10" s="37">
        <f t="shared" si="3"/>
        <v>0</v>
      </c>
      <c r="N10" s="164"/>
      <c r="O10" s="165"/>
      <c r="P10" s="165"/>
      <c r="Q10" s="165"/>
      <c r="R10" s="165"/>
    </row>
    <row r="11" spans="1:18" ht="13.5" customHeight="1">
      <c r="A11" s="35" t="s">
        <v>15</v>
      </c>
      <c r="B11" s="13">
        <f>SUMIF(Бензин!$Q$3:$Q$1131,"20099",Бензин!$D$3:$D$1131)</f>
        <v>0</v>
      </c>
      <c r="C11" s="102">
        <f>SUMIF(Запчасти!$P$3:$P$283,"20099",Запчасти!$F$3:$F$283)</f>
        <v>0</v>
      </c>
      <c r="D11" s="13">
        <f>SUMIF(Работы!$Q$3:$Q$1092,"20099",Работы!$F$3:$F$1092)</f>
        <v>0</v>
      </c>
      <c r="E11" s="13">
        <f>SUMIF(Другое!$P$4:$P$141,"20099",Другое!$F$4:$F$141)</f>
        <v>0</v>
      </c>
      <c r="F11" s="36">
        <f t="shared" si="0"/>
        <v>0</v>
      </c>
      <c r="G11" s="61">
        <v>30.86</v>
      </c>
      <c r="H11" s="36">
        <f t="shared" si="1"/>
        <v>0</v>
      </c>
      <c r="J11" s="11">
        <f>Бензин!M37</f>
        <v>0</v>
      </c>
      <c r="L11" s="37">
        <f t="shared" si="2"/>
        <v>0</v>
      </c>
      <c r="M11" s="37">
        <f t="shared" si="3"/>
        <v>0</v>
      </c>
      <c r="N11" s="164"/>
      <c r="O11" s="165"/>
      <c r="P11" s="165"/>
      <c r="Q11" s="165"/>
      <c r="R11" s="165"/>
    </row>
    <row r="12" spans="1:18" ht="13.5" customHeight="1">
      <c r="A12" s="35" t="s">
        <v>16</v>
      </c>
      <c r="B12" s="13">
        <f>SUMIF(Бензин!$Q$3:$Q$1131,"200910",Бензин!$D$3:$D$1131)</f>
        <v>0</v>
      </c>
      <c r="C12" s="142">
        <f>SUMIF(Запчасти!$P$3:$P$283,"200910",Запчасти!$F$3:$F$283)</f>
        <v>0</v>
      </c>
      <c r="D12" s="13">
        <f>SUMIF(Работы!$Q$3:$Q$1092,"200910",Работы!$F$3:$F$1092)</f>
        <v>0</v>
      </c>
      <c r="E12" s="13">
        <f>SUMIF(Другое!$P$4:$P$141,"200910",Другое!$F$4:$F$141)</f>
        <v>0</v>
      </c>
      <c r="F12" s="36">
        <f t="shared" si="0"/>
        <v>0</v>
      </c>
      <c r="G12" s="61">
        <v>29.48</v>
      </c>
      <c r="H12" s="36">
        <f t="shared" si="1"/>
        <v>0</v>
      </c>
      <c r="J12" s="11">
        <f>Бензин!M38</f>
        <v>0</v>
      </c>
      <c r="L12" s="37">
        <f t="shared" si="2"/>
        <v>0</v>
      </c>
      <c r="M12" s="37">
        <f t="shared" si="3"/>
        <v>0</v>
      </c>
      <c r="N12" s="164"/>
      <c r="O12" s="165"/>
      <c r="P12" s="165"/>
      <c r="Q12" s="165"/>
      <c r="R12" s="165"/>
    </row>
    <row r="13" spans="1:18" ht="13.5" customHeight="1">
      <c r="A13" s="35" t="s">
        <v>17</v>
      </c>
      <c r="B13" s="13">
        <f>SUMIF(Бензин!$Q$3:$Q$1131,"200911",Бензин!$D$3:$D$1131)</f>
        <v>0</v>
      </c>
      <c r="C13" s="142">
        <f>SUMIF(Запчасти!$P$3:$P$283,"200911",Запчасти!$F$3:$F$283)</f>
        <v>950</v>
      </c>
      <c r="D13" s="13">
        <f>SUMIF(Работы!$Q$3:$Q$1092,"200911",Работы!$F$3:$F$1092)</f>
        <v>0</v>
      </c>
      <c r="E13" s="13">
        <f>SUMIF(Другое!$P$4:$P$141,"200911",Другое!$F$4:$F$141)</f>
        <v>0</v>
      </c>
      <c r="F13" s="36">
        <f t="shared" si="0"/>
        <v>950</v>
      </c>
      <c r="G13" s="61">
        <v>28.91</v>
      </c>
      <c r="H13" s="36">
        <f t="shared" si="1"/>
        <v>32.86060186786579</v>
      </c>
      <c r="J13" s="11">
        <f>Бензин!M39</f>
        <v>0</v>
      </c>
      <c r="L13" s="37">
        <f t="shared" si="2"/>
        <v>0</v>
      </c>
      <c r="M13" s="37">
        <f t="shared" si="3"/>
        <v>0</v>
      </c>
      <c r="N13" s="164"/>
      <c r="O13" s="165"/>
      <c r="P13" s="165"/>
      <c r="Q13" s="165"/>
      <c r="R13" s="165"/>
    </row>
    <row r="14" spans="1:18" ht="14.25" customHeight="1" thickBot="1">
      <c r="A14" s="38" t="s">
        <v>18</v>
      </c>
      <c r="B14" s="39">
        <f>SUMIF(Бензин!$Q$3:$Q$1131,"200912",Бензин!$D$3:$D$1131)</f>
        <v>0</v>
      </c>
      <c r="C14" s="140">
        <f>SUMIF(Запчасти!$P$3:$P$283,"200912",Запчасти!$F$3:$F$283)</f>
        <v>0</v>
      </c>
      <c r="D14" s="39">
        <f>SUMIF(Работы!$Q$3:$Q$1092,"200912",Работы!$F$3:$F$1092)</f>
        <v>0</v>
      </c>
      <c r="E14" s="39">
        <f>SUMIF(Другое!$P$4:$P$141,"200912",Другое!$F$4:$F$141)</f>
        <v>4000</v>
      </c>
      <c r="F14" s="40">
        <f t="shared" si="0"/>
        <v>4000</v>
      </c>
      <c r="G14" s="59">
        <v>29.95</v>
      </c>
      <c r="H14" s="40">
        <f t="shared" si="1"/>
        <v>133.5559265442404</v>
      </c>
      <c r="J14" s="39">
        <f>Бензин!M40</f>
        <v>0</v>
      </c>
      <c r="L14" s="41">
        <f t="shared" si="2"/>
        <v>0</v>
      </c>
      <c r="M14" s="41">
        <f t="shared" si="3"/>
        <v>0</v>
      </c>
      <c r="N14" s="164"/>
      <c r="O14" s="165"/>
      <c r="P14" s="165"/>
      <c r="Q14" s="165"/>
      <c r="R14" s="165"/>
    </row>
    <row r="15" spans="1:13" ht="13.5">
      <c r="A15" s="42" t="s">
        <v>19</v>
      </c>
      <c r="B15" s="13">
        <f>SUMIF(Бензин!$Q$3:$Q$1131,"20101",Бензин!$D$3:$D$1131)</f>
        <v>0</v>
      </c>
      <c r="C15" s="141">
        <f>SUMIF(Запчасти!$P$3:$P$283,"20101",Запчасти!$F$3:$F$283)</f>
        <v>3810</v>
      </c>
      <c r="D15" s="13">
        <f>SUMIF(Работы!$Q$3:$Q$1092,"20101",Работы!$F$4:$F$1092)</f>
        <v>0</v>
      </c>
      <c r="E15" s="13">
        <f>SUMIF(Другое!$P$4:$P$141,"20101",Другое!$F$4:$F$141)</f>
        <v>0</v>
      </c>
      <c r="F15" s="43">
        <f aca="true" t="shared" si="4" ref="F15:F38">SUM(B15:E15)</f>
        <v>3810</v>
      </c>
      <c r="G15" s="60">
        <v>29.8</v>
      </c>
      <c r="H15" s="43">
        <f>IF(G15&lt;&gt;0,F15/G15,0)</f>
        <v>127.85234899328859</v>
      </c>
      <c r="J15" s="149"/>
      <c r="L15" s="44">
        <f>IF(J2&lt;&gt;0,F15/J2,0)</f>
        <v>0.017101075886585305</v>
      </c>
      <c r="M15" s="44">
        <f>IF(J2&lt;&gt;0,H15/J2,0)</f>
        <v>0.0005738616069323927</v>
      </c>
    </row>
    <row r="16" spans="1:13" ht="13.5">
      <c r="A16" s="35" t="s">
        <v>20</v>
      </c>
      <c r="B16" s="158">
        <f>SUMIF(Бензин!$Q$3:$Q$1131,"20102",Бензин!$D$3:$D$1131)</f>
        <v>900</v>
      </c>
      <c r="C16" s="159">
        <f>SUMIF(Запчасти!$P$3:$P$283,"20102",Запчасти!$F$3:$F$283)</f>
        <v>0</v>
      </c>
      <c r="D16" s="158">
        <f>SUMIF(Работы!$Q$3:$Q$1092,"20102",Работы!$F$3:$F$1092)</f>
        <v>0</v>
      </c>
      <c r="E16" s="158">
        <f>SUMIF(Другое!$P$4:$P$141,"20102",Другое!$F$4:$F$141)</f>
        <v>1370</v>
      </c>
      <c r="F16" s="4">
        <f t="shared" si="4"/>
        <v>2270</v>
      </c>
      <c r="G16" s="160">
        <v>30.45</v>
      </c>
      <c r="H16" s="4">
        <f aca="true" t="shared" si="5" ref="H16:H26">IF(G16&lt;&gt;0,F16/G16,0)</f>
        <v>74.54844006568145</v>
      </c>
      <c r="J16" s="161">
        <f>Бензин!M42</f>
        <v>399</v>
      </c>
      <c r="L16" s="162">
        <f aca="true" t="shared" si="6" ref="L16:L38">IF(J16&lt;&gt;0,F16/J16,0)</f>
        <v>5.68922305764411</v>
      </c>
      <c r="M16" s="162">
        <f>IF(J16&lt;&gt;0,B16/J16,0)</f>
        <v>2.255639097744361</v>
      </c>
    </row>
    <row r="17" spans="1:13" ht="13.5">
      <c r="A17" s="35" t="s">
        <v>21</v>
      </c>
      <c r="B17" s="13">
        <f>SUMIF(Бензин!$Q$3:$Q$1131,"20103",Бензин!$D$3:$D$1131)</f>
        <v>4195</v>
      </c>
      <c r="C17" s="14">
        <f>SUMIF(Запчасти!$P$3:$P$283,"20103",Запчасти!$F$3:$F$283)</f>
        <v>12440</v>
      </c>
      <c r="D17" s="13">
        <f>SUMIF(Работы!$Q$3:$Q$1092,"20103",Работы!$F$3:$F$1092)</f>
        <v>0</v>
      </c>
      <c r="E17" s="13">
        <f>SUMIF(Другое!$P$4:$P$141,"20103",Другое!$F$4:$F$141)</f>
        <v>0</v>
      </c>
      <c r="F17" s="36">
        <f t="shared" si="4"/>
        <v>16635</v>
      </c>
      <c r="G17" s="148">
        <v>29.8</v>
      </c>
      <c r="H17" s="36">
        <f t="shared" si="5"/>
        <v>558.2214765100671</v>
      </c>
      <c r="J17" s="11">
        <f>Бензин!M43</f>
        <v>2128</v>
      </c>
      <c r="L17" s="37">
        <f t="shared" si="6"/>
        <v>7.817199248120301</v>
      </c>
      <c r="M17" s="37">
        <f aca="true" t="shared" si="7" ref="M17:M38">IF(J17&lt;&gt;0,B17/J17,0)</f>
        <v>1.9713345864661653</v>
      </c>
    </row>
    <row r="18" spans="1:18" ht="13.5">
      <c r="A18" s="35" t="s">
        <v>22</v>
      </c>
      <c r="B18" s="13">
        <f>SUMIF(Бензин!$Q$3:$Q$1131,"20104",Бензин!$D$3:$D$1131)</f>
        <v>2700</v>
      </c>
      <c r="C18" s="14">
        <f>SUMIF(Запчасти!$P$3:$P$283,"20104",Запчасти!$F$3:$F$283)</f>
        <v>129</v>
      </c>
      <c r="D18" s="13">
        <f>SUMIF(Работы!$Q$3:$Q$1092,"20104",Работы!$F$3:$F$1092)</f>
        <v>0</v>
      </c>
      <c r="E18" s="13">
        <f>SUMIF(Другое!$P$4:$P$141,"20104",Другое!$F$4:$F$141)</f>
        <v>2800</v>
      </c>
      <c r="F18" s="36">
        <f t="shared" si="4"/>
        <v>5629</v>
      </c>
      <c r="G18" s="61"/>
      <c r="H18" s="36">
        <f t="shared" si="5"/>
        <v>0</v>
      </c>
      <c r="J18" s="11">
        <f>Бензин!M44</f>
        <v>1688</v>
      </c>
      <c r="L18" s="37">
        <f t="shared" si="6"/>
        <v>3.3347156398104265</v>
      </c>
      <c r="M18" s="37">
        <f>IF(J18&lt;&gt;0,B18/J18,0)</f>
        <v>1.599526066350711</v>
      </c>
      <c r="N18" s="164">
        <v>2010</v>
      </c>
      <c r="O18" s="165"/>
      <c r="P18" s="165"/>
      <c r="Q18" s="165"/>
      <c r="R18" s="165"/>
    </row>
    <row r="19" spans="1:18" ht="13.5" customHeight="1">
      <c r="A19" s="35" t="s">
        <v>11</v>
      </c>
      <c r="B19" s="13">
        <f>SUMIF(Бензин!$Q$3:$Q$1131,"20105",Бензин!$D$3:$D$1131)</f>
        <v>3750</v>
      </c>
      <c r="C19" s="14">
        <f>SUMIF(Запчасти!$P$3:$P$283,"20105",Запчасти!$F$3:$F$283)</f>
        <v>1059</v>
      </c>
      <c r="D19" s="13">
        <f>SUMIF(Работы!$Q$3:$Q$1092,"20105",Работы!$F$3:$F$1092)</f>
        <v>500</v>
      </c>
      <c r="E19" s="13">
        <f>SUMIF(Другое!$P$4:$P$141,"20105",Другое!$F$4:$F$141)</f>
        <v>0</v>
      </c>
      <c r="F19" s="36">
        <f t="shared" si="4"/>
        <v>5309</v>
      </c>
      <c r="G19" s="61"/>
      <c r="H19" s="36">
        <f t="shared" si="5"/>
        <v>0</v>
      </c>
      <c r="J19" s="11">
        <f>Бензин!M45</f>
        <v>1840</v>
      </c>
      <c r="L19" s="37">
        <f t="shared" si="6"/>
        <v>2.8853260869565216</v>
      </c>
      <c r="M19" s="37">
        <f t="shared" si="7"/>
        <v>2.0380434782608696</v>
      </c>
      <c r="N19" s="164"/>
      <c r="O19" s="165"/>
      <c r="P19" s="165"/>
      <c r="Q19" s="165"/>
      <c r="R19" s="165"/>
    </row>
    <row r="20" spans="1:18" ht="13.5" customHeight="1">
      <c r="A20" s="35" t="s">
        <v>12</v>
      </c>
      <c r="B20" s="13">
        <f>SUMIF(Бензин!$Q$3:$Q$1131,"20106",Бензин!$D$3:$D$1131)</f>
        <v>3270</v>
      </c>
      <c r="C20" s="14">
        <f>SUMIF(Запчасти!$P$3:$P$283,"20106",Запчасти!$F$3:$F$283)</f>
        <v>5642</v>
      </c>
      <c r="D20" s="13">
        <f>SUMIF(Работы!$Q$3:$Q$1092,"20106",Работы!$F$3:$F$1092)</f>
        <v>0</v>
      </c>
      <c r="E20" s="13">
        <f>SUMIF(Другое!$P$4:$P$141,"20106",Другое!$F$4:$F$141)</f>
        <v>3370</v>
      </c>
      <c r="F20" s="36">
        <f t="shared" si="4"/>
        <v>12282</v>
      </c>
      <c r="G20" s="61"/>
      <c r="H20" s="36">
        <f t="shared" si="5"/>
        <v>0</v>
      </c>
      <c r="J20" s="11">
        <f>Бензин!M46</f>
        <v>1702</v>
      </c>
      <c r="L20" s="37">
        <f t="shared" si="6"/>
        <v>7.216216216216216</v>
      </c>
      <c r="M20" s="37">
        <f t="shared" si="7"/>
        <v>1.9212690951821387</v>
      </c>
      <c r="N20" s="164"/>
      <c r="O20" s="165"/>
      <c r="P20" s="165"/>
      <c r="Q20" s="165"/>
      <c r="R20" s="165"/>
    </row>
    <row r="21" spans="1:18" ht="13.5" customHeight="1">
      <c r="A21" s="35" t="s">
        <v>13</v>
      </c>
      <c r="B21" s="13">
        <f>SUMIF(Бензин!$Q$3:$Q$1131,"20107",Бензин!$D$3:$D$1131)</f>
        <v>7358.2</v>
      </c>
      <c r="C21" s="14">
        <f>SUMIF(Запчасти!$P$3:$P$283,"20107",Запчасти!$F$3:$F$283)</f>
        <v>4493.5</v>
      </c>
      <c r="D21" s="13">
        <f>SUMIF(Работы!$Q$3:$Q$1092,"20107",Работы!$F$3:$F$1092)</f>
        <v>3499</v>
      </c>
      <c r="E21" s="13">
        <f>SUMIF(Другое!$P$4:$P$141,"20107",Другое!$F$4:$F$141)</f>
        <v>3903</v>
      </c>
      <c r="F21" s="36">
        <f t="shared" si="4"/>
        <v>19253.7</v>
      </c>
      <c r="G21" s="61"/>
      <c r="H21" s="36">
        <f t="shared" si="5"/>
        <v>0</v>
      </c>
      <c r="J21" s="11">
        <f>Бензин!M47</f>
        <v>3832</v>
      </c>
      <c r="L21" s="37">
        <f t="shared" si="6"/>
        <v>5.024451983298539</v>
      </c>
      <c r="M21" s="37">
        <f t="shared" si="7"/>
        <v>1.920198329853862</v>
      </c>
      <c r="N21" s="164"/>
      <c r="O21" s="165"/>
      <c r="P21" s="165"/>
      <c r="Q21" s="165"/>
      <c r="R21" s="165"/>
    </row>
    <row r="22" spans="1:18" ht="13.5" customHeight="1">
      <c r="A22" s="35" t="s">
        <v>14</v>
      </c>
      <c r="B22" s="13">
        <f>SUMIF(Бензин!$Q$3:$Q$1131,"20108",Бензин!$D$3:$D$1131)</f>
        <v>3474.9</v>
      </c>
      <c r="C22" s="14">
        <f>SUMIF(Запчасти!$P$3:$P$283,"20108",Запчасти!$F$3:$F$283)</f>
        <v>0</v>
      </c>
      <c r="D22" s="13">
        <f>SUMIF(Работы!$Q$3:$Q$1092,"20108",Работы!$F$3:$F$1092)</f>
        <v>200</v>
      </c>
      <c r="E22" s="13">
        <f>SUMIF(Другое!$P$4:$P$141,"20108",Другое!$F$4:$F$141)</f>
        <v>0</v>
      </c>
      <c r="F22" s="36">
        <f t="shared" si="4"/>
        <v>3674.9</v>
      </c>
      <c r="G22" s="61"/>
      <c r="H22" s="36">
        <f t="shared" si="5"/>
        <v>0</v>
      </c>
      <c r="J22" s="11">
        <f>Бензин!M48</f>
        <v>1484</v>
      </c>
      <c r="L22" s="37">
        <f t="shared" si="6"/>
        <v>2.476347708894879</v>
      </c>
      <c r="M22" s="37">
        <f t="shared" si="7"/>
        <v>2.3415768194070083</v>
      </c>
      <c r="N22" s="164"/>
      <c r="O22" s="165"/>
      <c r="P22" s="165"/>
      <c r="Q22" s="165"/>
      <c r="R22" s="165"/>
    </row>
    <row r="23" spans="1:18" ht="13.5" customHeight="1">
      <c r="A23" s="35" t="s">
        <v>15</v>
      </c>
      <c r="B23" s="13">
        <f>SUMIF(Бензин!$Q$3:$Q$1131,"20109",Бензин!$D$3:$D$1131)</f>
        <v>2260</v>
      </c>
      <c r="C23" s="14">
        <f>SUMIF(Запчасти!$P$3:$P$283,"20109",Запчасти!$F$3:$F$283)</f>
        <v>100</v>
      </c>
      <c r="D23" s="13">
        <f>SUMIF(Работы!$Q$3:$Q$1092,"20109",Работы!$F$3:$F$1092)</f>
        <v>0</v>
      </c>
      <c r="E23" s="13">
        <f>SUMIF(Другое!$P$4:$P$141,"20109",Другое!$F$4:$F$141)</f>
        <v>0</v>
      </c>
      <c r="F23" s="36">
        <f t="shared" si="4"/>
        <v>2360</v>
      </c>
      <c r="G23" s="61"/>
      <c r="H23" s="36">
        <f t="shared" si="5"/>
        <v>0</v>
      </c>
      <c r="J23" s="11">
        <f>Бензин!M49</f>
        <v>958</v>
      </c>
      <c r="L23" s="37">
        <f t="shared" si="6"/>
        <v>2.463465553235908</v>
      </c>
      <c r="M23" s="37">
        <f t="shared" si="7"/>
        <v>2.359081419624217</v>
      </c>
      <c r="N23" s="164"/>
      <c r="O23" s="165"/>
      <c r="P23" s="165"/>
      <c r="Q23" s="165"/>
      <c r="R23" s="165"/>
    </row>
    <row r="24" spans="1:18" ht="13.5" customHeight="1">
      <c r="A24" s="35" t="s">
        <v>16</v>
      </c>
      <c r="B24" s="13">
        <f>SUMIF(Бензин!$Q$3:$Q$1131,"201010",Бензин!$D$3:$D$1131)</f>
        <v>2024.99</v>
      </c>
      <c r="C24" s="14">
        <f>SUMIF(Запчасти!$P$3:$P$283,"201010",Запчасти!$F$3:$F$283)</f>
        <v>1969</v>
      </c>
      <c r="D24" s="13">
        <f>SUMIF(Работы!$Q$3:$Q$1092,"201010",Работы!$F$3:$F$1092)</f>
        <v>0</v>
      </c>
      <c r="E24" s="13">
        <f>SUMIF(Другое!$P$4:$P$141,"201010",Другое!$F$4:$F$141)</f>
        <v>0</v>
      </c>
      <c r="F24" s="36">
        <f t="shared" si="4"/>
        <v>3993.99</v>
      </c>
      <c r="G24" s="61"/>
      <c r="H24" s="36">
        <f t="shared" si="5"/>
        <v>0</v>
      </c>
      <c r="J24" s="11">
        <f>Бензин!M50</f>
        <v>812</v>
      </c>
      <c r="L24" s="37">
        <f t="shared" si="6"/>
        <v>4.918706896551724</v>
      </c>
      <c r="M24" s="37">
        <f t="shared" si="7"/>
        <v>2.4938300492610836</v>
      </c>
      <c r="N24" s="164"/>
      <c r="O24" s="165"/>
      <c r="P24" s="165"/>
      <c r="Q24" s="165"/>
      <c r="R24" s="165"/>
    </row>
    <row r="25" spans="1:18" ht="13.5" customHeight="1">
      <c r="A25" s="35" t="s">
        <v>17</v>
      </c>
      <c r="B25" s="13">
        <f>SUMIF(Бензин!$Q$3:$Q$1131,"201011",Бензин!$D$3:$D$1131)</f>
        <v>2720.004</v>
      </c>
      <c r="C25" s="14">
        <f>SUMIF(Запчасти!$P$3:$P$283,"201011",Запчасти!$F$3:$F$283)</f>
        <v>299</v>
      </c>
      <c r="D25" s="13">
        <f>SUMIF(Работы!$Q$3:$Q$1092,"201011",Работы!$F$3:$F$1092)</f>
        <v>0</v>
      </c>
      <c r="E25" s="13">
        <f>SUMIF(Другое!$P$4:$P$141,"201011",Другое!$F$4:$F$141)</f>
        <v>2470</v>
      </c>
      <c r="F25" s="36">
        <f t="shared" si="4"/>
        <v>5489.004</v>
      </c>
      <c r="G25" s="61"/>
      <c r="H25" s="36">
        <f t="shared" si="5"/>
        <v>0</v>
      </c>
      <c r="J25" s="11">
        <f>Бензин!M51</f>
        <v>1259</v>
      </c>
      <c r="L25" s="37">
        <f t="shared" si="6"/>
        <v>4.359812549642573</v>
      </c>
      <c r="M25" s="37">
        <f t="shared" si="7"/>
        <v>2.1604479745830023</v>
      </c>
      <c r="N25" s="164"/>
      <c r="O25" s="165"/>
      <c r="P25" s="165"/>
      <c r="Q25" s="165"/>
      <c r="R25" s="165"/>
    </row>
    <row r="26" spans="1:18" ht="14.25" customHeight="1" thickBot="1">
      <c r="A26" s="38" t="s">
        <v>18</v>
      </c>
      <c r="B26" s="39">
        <f>SUMIF(Бензин!$Q$3:$Q$1131,"201012",Бензин!$D$3:$D$1131)</f>
        <v>1899.5</v>
      </c>
      <c r="C26" s="39">
        <f>SUMIF(Запчасти!$P$3:$P$283,"201012",Запчасти!$F$3:$F$283)</f>
        <v>2135</v>
      </c>
      <c r="D26" s="39">
        <f>SUMIF(Работы!$Q$3:$Q$1092,"201012",Работы!$F$3:$F$1092)</f>
        <v>610</v>
      </c>
      <c r="E26" s="39">
        <f>SUMIF(Другое!$P$4:$P$141,"201012",Другое!$F$4:$F$141)</f>
        <v>2500</v>
      </c>
      <c r="F26" s="40">
        <f t="shared" si="4"/>
        <v>7144.5</v>
      </c>
      <c r="G26" s="59"/>
      <c r="H26" s="40">
        <f t="shared" si="5"/>
        <v>0</v>
      </c>
      <c r="J26" s="39">
        <f>Бензин!M52</f>
        <v>1828</v>
      </c>
      <c r="L26" s="41">
        <f t="shared" si="6"/>
        <v>3.9083698030634575</v>
      </c>
      <c r="M26" s="41">
        <f t="shared" si="7"/>
        <v>1.0391137855579868</v>
      </c>
      <c r="N26" s="164"/>
      <c r="O26" s="165"/>
      <c r="P26" s="165"/>
      <c r="Q26" s="165"/>
      <c r="R26" s="165"/>
    </row>
    <row r="27" spans="1:13" ht="13.5">
      <c r="A27" s="42" t="s">
        <v>19</v>
      </c>
      <c r="B27" s="13">
        <f>SUMIF(Бензин!$Q$3:$Q$1131,"20111",Бензин!$D$3:$D$1131)</f>
        <v>4707.999</v>
      </c>
      <c r="C27" s="147">
        <f>SUMIF(Запчасти!$P$3:$P$283,"20111",Запчасти!$F$3:$F$283)</f>
        <v>209</v>
      </c>
      <c r="D27" s="13">
        <f>SUMIF(Работы!$Q$3:$Q$1092,"20111",Работы!$F$3:$F$1092)</f>
        <v>100</v>
      </c>
      <c r="E27" s="13">
        <f>SUMIF(Другое!$P$4:$P$141,"20111",Другое!$F$4:$F$141)</f>
        <v>3000</v>
      </c>
      <c r="F27" s="43">
        <f t="shared" si="4"/>
        <v>8016.999</v>
      </c>
      <c r="G27" s="60"/>
      <c r="H27" s="43">
        <f>IF(G27&lt;&gt;0,F27/G27,0)</f>
        <v>0</v>
      </c>
      <c r="J27" s="11">
        <f>Бензин!M53</f>
        <v>1581</v>
      </c>
      <c r="L27" s="44">
        <f t="shared" si="6"/>
        <v>5.070840607210626</v>
      </c>
      <c r="M27" s="44">
        <f t="shared" si="7"/>
        <v>2.977861480075901</v>
      </c>
    </row>
    <row r="28" spans="1:13" ht="13.5">
      <c r="A28" s="35" t="s">
        <v>20</v>
      </c>
      <c r="B28" s="13">
        <f>SUMIF(Бензин!$Q$3:$Q$1131,"20112",Бензин!$D$3:$D$1131)</f>
        <v>4966.499199999999</v>
      </c>
      <c r="C28" s="14">
        <f>SUMIF(Запчасти!$P$3:$P$283,"20112",Запчасти!$F$3:$F$283)</f>
        <v>1219</v>
      </c>
      <c r="D28" s="13">
        <f>SUMIF(Работы!$Q$3:$Q$1092,"20112",Работы!$F$3:$F$1092)</f>
        <v>0</v>
      </c>
      <c r="E28" s="13">
        <f>SUMIF(Другое!$P$4:$P$141,"20112",Другое!$F$4:$F$141)</f>
        <v>3610</v>
      </c>
      <c r="F28" s="36">
        <f t="shared" si="4"/>
        <v>9795.499199999998</v>
      </c>
      <c r="G28" s="148"/>
      <c r="H28" s="36">
        <f aca="true" t="shared" si="8" ref="H28:H38">IF(G28&lt;&gt;0,F28/G28,0)</f>
        <v>0</v>
      </c>
      <c r="J28" s="11">
        <f>Бензин!M54</f>
        <v>1856</v>
      </c>
      <c r="L28" s="37">
        <f t="shared" si="6"/>
        <v>5.277747413793103</v>
      </c>
      <c r="M28" s="37">
        <f t="shared" si="7"/>
        <v>2.675915517241379</v>
      </c>
    </row>
    <row r="29" spans="1:13" ht="13.5">
      <c r="A29" s="35" t="s">
        <v>21</v>
      </c>
      <c r="B29" s="13">
        <f>SUMIF(Бензин!$Q$3:$Q$1131,"20113",Бензин!$D$3:$D$1131)</f>
        <v>999.99</v>
      </c>
      <c r="C29" s="14">
        <f>SUMIF(Запчасти!$P$3:$P$283,"20113",Запчасти!$F$3:$F$283)</f>
        <v>0</v>
      </c>
      <c r="D29" s="13">
        <f>SUMIF(Работы!$Q$3:$Q$1092,"20113",Работы!$F$3:$F$1092)</f>
        <v>300</v>
      </c>
      <c r="E29" s="13">
        <f>SUMIF(Другое!$P$4:$P$141,"20113",Другое!$F$4:$F$141)</f>
        <v>60</v>
      </c>
      <c r="F29" s="36">
        <f t="shared" si="4"/>
        <v>1359.99</v>
      </c>
      <c r="G29" s="148"/>
      <c r="H29" s="36">
        <f t="shared" si="8"/>
        <v>0</v>
      </c>
      <c r="J29" s="11">
        <f>Бензин!M55</f>
        <v>372</v>
      </c>
      <c r="L29" s="37">
        <f t="shared" si="6"/>
        <v>3.6558870967741934</v>
      </c>
      <c r="M29" s="37">
        <f t="shared" si="7"/>
        <v>2.6881451612903224</v>
      </c>
    </row>
    <row r="30" spans="1:18" ht="13.5">
      <c r="A30" s="35" t="s">
        <v>22</v>
      </c>
      <c r="B30" s="13">
        <f>SUMIF(Бензин!$Q$3:$Q$1131,"20114",Бензин!$D$3:$D$1131)</f>
        <v>0</v>
      </c>
      <c r="C30" s="14">
        <f>SUMIF(Запчасти!$P$3:$P$283,"20114",Запчасти!$F$3:$F$283)</f>
        <v>0</v>
      </c>
      <c r="D30" s="13">
        <f>SUMIF(Работы!$Q$3:$Q$1092,"20114",Работы!$F$3:$F$1092)</f>
        <v>0</v>
      </c>
      <c r="E30" s="13">
        <f>SUMIF(Другое!$P$4:$P$141,"20114",Другое!$F$4:$F$141)</f>
        <v>0</v>
      </c>
      <c r="F30" s="36">
        <f t="shared" si="4"/>
        <v>0</v>
      </c>
      <c r="G30" s="61"/>
      <c r="H30" s="36">
        <f t="shared" si="8"/>
        <v>0</v>
      </c>
      <c r="J30" s="11">
        <f>Бензин!M56</f>
        <v>0</v>
      </c>
      <c r="L30" s="37">
        <f t="shared" si="6"/>
        <v>0</v>
      </c>
      <c r="M30" s="37">
        <f t="shared" si="7"/>
        <v>0</v>
      </c>
      <c r="N30" s="164">
        <v>2011</v>
      </c>
      <c r="O30" s="165"/>
      <c r="P30" s="165"/>
      <c r="Q30" s="165"/>
      <c r="R30" s="165"/>
    </row>
    <row r="31" spans="1:18" ht="13.5" customHeight="1">
      <c r="A31" s="35" t="s">
        <v>11</v>
      </c>
      <c r="B31" s="13">
        <f>SUMIF(Бензин!$Q$3:$Q$1131,"20115",Бензин!$D$3:$D$1131)</f>
        <v>0</v>
      </c>
      <c r="C31" s="14">
        <f>SUMIF(Запчасти!$P$3:$P$283,"20115",Запчасти!$F$3:$F$283)</f>
        <v>0</v>
      </c>
      <c r="D31" s="13">
        <f>SUMIF(Работы!$Q$3:$Q$1092,"20115",Работы!$F$3:$F$1092)</f>
        <v>0</v>
      </c>
      <c r="E31" s="13">
        <f>SUMIF(Другое!$P$4:$P$141,"20115",Другое!$F$4:$F$141)</f>
        <v>0</v>
      </c>
      <c r="F31" s="36">
        <f t="shared" si="4"/>
        <v>0</v>
      </c>
      <c r="G31" s="61"/>
      <c r="H31" s="36">
        <f t="shared" si="8"/>
        <v>0</v>
      </c>
      <c r="J31" s="11">
        <f>Бензин!M57</f>
        <v>0</v>
      </c>
      <c r="L31" s="37">
        <f t="shared" si="6"/>
        <v>0</v>
      </c>
      <c r="M31" s="37">
        <f t="shared" si="7"/>
        <v>0</v>
      </c>
      <c r="N31" s="164"/>
      <c r="O31" s="165"/>
      <c r="P31" s="165"/>
      <c r="Q31" s="165"/>
      <c r="R31" s="165"/>
    </row>
    <row r="32" spans="1:18" ht="13.5" customHeight="1">
      <c r="A32" s="35" t="s">
        <v>12</v>
      </c>
      <c r="B32" s="13">
        <f>SUMIF(Бензин!$Q$3:$Q$1131,"20116",Бензин!$D$3:$D$1131)</f>
        <v>0</v>
      </c>
      <c r="C32" s="14">
        <f>SUMIF(Запчасти!$P$3:$P$283,"20116",Запчасти!$F$3:$F$283)</f>
        <v>0</v>
      </c>
      <c r="D32" s="13">
        <f>SUMIF(Работы!$Q$3:$Q$1092,"20116",Работы!$F$3:$F$1092)</f>
        <v>0</v>
      </c>
      <c r="E32" s="13">
        <f>SUMIF(Другое!$P$4:$P$141,"20116",Другое!$F$4:$F$141)</f>
        <v>0</v>
      </c>
      <c r="F32" s="36">
        <f t="shared" si="4"/>
        <v>0</v>
      </c>
      <c r="G32" s="61"/>
      <c r="H32" s="36">
        <f t="shared" si="8"/>
        <v>0</v>
      </c>
      <c r="J32" s="11">
        <f>Бензин!M58</f>
        <v>0</v>
      </c>
      <c r="L32" s="37">
        <f t="shared" si="6"/>
        <v>0</v>
      </c>
      <c r="M32" s="37">
        <f t="shared" si="7"/>
        <v>0</v>
      </c>
      <c r="N32" s="164"/>
      <c r="O32" s="165"/>
      <c r="P32" s="165"/>
      <c r="Q32" s="165"/>
      <c r="R32" s="165"/>
    </row>
    <row r="33" spans="1:18" ht="13.5" customHeight="1">
      <c r="A33" s="35" t="s">
        <v>13</v>
      </c>
      <c r="B33" s="13">
        <f>SUMIF(Бензин!$Q$3:$Q$1131,"20117",Бензин!$D$3:$D$1131)</f>
        <v>0</v>
      </c>
      <c r="C33" s="14">
        <f>SUMIF(Запчасти!$P$3:$P$283,"20117",Запчасти!$F$3:$F$283)</f>
        <v>0</v>
      </c>
      <c r="D33" s="13">
        <f>SUMIF(Работы!$Q$3:$Q$1092,"20117",Работы!$F$3:$F$1092)</f>
        <v>0</v>
      </c>
      <c r="E33" s="13">
        <f>SUMIF(Другое!$P$4:$P$141,"20117",Другое!$F$4:$F$141)</f>
        <v>0</v>
      </c>
      <c r="F33" s="36">
        <f t="shared" si="4"/>
        <v>0</v>
      </c>
      <c r="G33" s="61"/>
      <c r="H33" s="36">
        <f t="shared" si="8"/>
        <v>0</v>
      </c>
      <c r="J33" s="11">
        <f>Бензин!M59</f>
        <v>0</v>
      </c>
      <c r="L33" s="37">
        <f t="shared" si="6"/>
        <v>0</v>
      </c>
      <c r="M33" s="37">
        <f t="shared" si="7"/>
        <v>0</v>
      </c>
      <c r="N33" s="164"/>
      <c r="O33" s="165"/>
      <c r="P33" s="165"/>
      <c r="Q33" s="165"/>
      <c r="R33" s="165"/>
    </row>
    <row r="34" spans="1:18" ht="13.5" customHeight="1">
      <c r="A34" s="35" t="s">
        <v>14</v>
      </c>
      <c r="B34" s="13">
        <f>SUMIF(Бензин!$Q$3:$Q$1131,"20118",Бензин!$D$3:$D$1131)</f>
        <v>0</v>
      </c>
      <c r="C34" s="14">
        <f>SUMIF(Запчасти!$P$3:$P$283,"20118",Запчасти!$F$3:$F$283)</f>
        <v>0</v>
      </c>
      <c r="D34" s="13">
        <f>SUMIF(Работы!$Q$3:$Q$1092,"20118",Работы!$F$3:$F$1092)</f>
        <v>0</v>
      </c>
      <c r="E34" s="13">
        <f>SUMIF(Другое!$P$4:$P$141,"20118",Другое!$F$4:$F$141)</f>
        <v>0</v>
      </c>
      <c r="F34" s="36">
        <f t="shared" si="4"/>
        <v>0</v>
      </c>
      <c r="G34" s="61"/>
      <c r="H34" s="36">
        <f t="shared" si="8"/>
        <v>0</v>
      </c>
      <c r="J34" s="11">
        <f>Бензин!M60</f>
        <v>0</v>
      </c>
      <c r="L34" s="37">
        <f t="shared" si="6"/>
        <v>0</v>
      </c>
      <c r="M34" s="37">
        <f t="shared" si="7"/>
        <v>0</v>
      </c>
      <c r="N34" s="164"/>
      <c r="O34" s="165"/>
      <c r="P34" s="165"/>
      <c r="Q34" s="165"/>
      <c r="R34" s="165"/>
    </row>
    <row r="35" spans="1:18" ht="13.5" customHeight="1">
      <c r="A35" s="35" t="s">
        <v>15</v>
      </c>
      <c r="B35" s="13">
        <f>SUMIF(Бензин!$Q$3:$Q$1131,"20119",Бензин!$D$3:$D$1131)</f>
        <v>0</v>
      </c>
      <c r="C35" s="14">
        <f>SUMIF(Запчасти!$P$3:$P$283,"20119",Запчасти!$F$3:$F$283)</f>
        <v>0</v>
      </c>
      <c r="D35" s="13">
        <f>SUMIF(Работы!$Q$3:$Q$1092,"20119",Работы!$F$3:$F$1092)</f>
        <v>0</v>
      </c>
      <c r="E35" s="13">
        <f>SUMIF(Другое!$P$4:$P$141,"20119",Другое!$F$4:$F$141)</f>
        <v>0</v>
      </c>
      <c r="F35" s="36">
        <f t="shared" si="4"/>
        <v>0</v>
      </c>
      <c r="G35" s="61"/>
      <c r="H35" s="36">
        <f t="shared" si="8"/>
        <v>0</v>
      </c>
      <c r="J35" s="11">
        <f>Бензин!M61</f>
        <v>0</v>
      </c>
      <c r="L35" s="37">
        <f t="shared" si="6"/>
        <v>0</v>
      </c>
      <c r="M35" s="37">
        <f t="shared" si="7"/>
        <v>0</v>
      </c>
      <c r="N35" s="164"/>
      <c r="O35" s="165"/>
      <c r="P35" s="165"/>
      <c r="Q35" s="165"/>
      <c r="R35" s="165"/>
    </row>
    <row r="36" spans="1:18" ht="13.5" customHeight="1">
      <c r="A36" s="35" t="s">
        <v>16</v>
      </c>
      <c r="B36" s="13">
        <f>SUMIF(Бензин!$Q$3:$Q$1131,"201110",Бензин!$D$3:$D$1131)</f>
        <v>0</v>
      </c>
      <c r="C36" s="14">
        <f>SUMIF(Запчасти!$P$3:$P$283,"201110",Запчасти!$F$3:$F$283)</f>
        <v>0</v>
      </c>
      <c r="D36" s="13">
        <f>SUMIF(Работы!$Q$3:$Q$1092,"201110",Работы!$F$3:$F$1092)</f>
        <v>0</v>
      </c>
      <c r="E36" s="13">
        <f>SUMIF(Другое!$P$4:$P$141,"201110",Другое!$F$4:$F$141)</f>
        <v>0</v>
      </c>
      <c r="F36" s="36">
        <f t="shared" si="4"/>
        <v>0</v>
      </c>
      <c r="G36" s="61"/>
      <c r="H36" s="36">
        <f t="shared" si="8"/>
        <v>0</v>
      </c>
      <c r="J36" s="11">
        <f>Бензин!M62</f>
        <v>0</v>
      </c>
      <c r="L36" s="37">
        <f t="shared" si="6"/>
        <v>0</v>
      </c>
      <c r="M36" s="37">
        <f t="shared" si="7"/>
        <v>0</v>
      </c>
      <c r="N36" s="164"/>
      <c r="O36" s="165"/>
      <c r="P36" s="165"/>
      <c r="Q36" s="165"/>
      <c r="R36" s="165"/>
    </row>
    <row r="37" spans="1:18" ht="13.5" customHeight="1">
      <c r="A37" s="35" t="s">
        <v>17</v>
      </c>
      <c r="B37" s="13">
        <f>SUMIF(Бензин!$Q$3:$Q$1131,"201111",Бензин!$D$3:$D$1131)</f>
        <v>0</v>
      </c>
      <c r="C37" s="14">
        <f>SUMIF(Запчасти!$P$3:$P$283,"201111",Запчасти!$F$3:$F$283)</f>
        <v>0</v>
      </c>
      <c r="D37" s="13">
        <f>SUMIF(Работы!$Q$3:$Q$1092,"201111",Работы!$F$3:$F$1092)</f>
        <v>0</v>
      </c>
      <c r="E37" s="13">
        <f>SUMIF(Другое!$P$4:$P$141,"201111",Другое!$F$4:$F$141)</f>
        <v>0</v>
      </c>
      <c r="F37" s="36">
        <f t="shared" si="4"/>
        <v>0</v>
      </c>
      <c r="G37" s="61"/>
      <c r="H37" s="36">
        <f t="shared" si="8"/>
        <v>0</v>
      </c>
      <c r="J37" s="11">
        <f>Бензин!M63</f>
        <v>0</v>
      </c>
      <c r="L37" s="37">
        <f t="shared" si="6"/>
        <v>0</v>
      </c>
      <c r="M37" s="37">
        <f t="shared" si="7"/>
        <v>0</v>
      </c>
      <c r="N37" s="164"/>
      <c r="O37" s="165"/>
      <c r="P37" s="165"/>
      <c r="Q37" s="165"/>
      <c r="R37" s="165"/>
    </row>
    <row r="38" spans="1:18" ht="14.25" customHeight="1" thickBot="1">
      <c r="A38" s="38" t="s">
        <v>18</v>
      </c>
      <c r="B38" s="39">
        <f>SUMIF(Бензин!$Q$3:$Q$1131,"201112",Бензин!$D$3:$D$1131)</f>
        <v>0</v>
      </c>
      <c r="C38" s="39">
        <f>SUMIF(Запчасти!$P$3:$P$283,"201112",Запчасти!$F$3:$F$283)</f>
        <v>0</v>
      </c>
      <c r="D38" s="39">
        <f>SUMIF(Работы!$Q$3:$Q$1092,"201112",Работы!$F$3:$F$1092)</f>
        <v>0</v>
      </c>
      <c r="E38" s="39">
        <f>SUMIF(Другое!$P$4:$P$141,"201112",Другое!$F$4:$F$141)</f>
        <v>0</v>
      </c>
      <c r="F38" s="40">
        <f t="shared" si="4"/>
        <v>0</v>
      </c>
      <c r="G38" s="59"/>
      <c r="H38" s="40">
        <f t="shared" si="8"/>
        <v>0</v>
      </c>
      <c r="J38" s="39">
        <f>Бензин!M64</f>
        <v>0</v>
      </c>
      <c r="L38" s="41">
        <f t="shared" si="6"/>
        <v>0</v>
      </c>
      <c r="M38" s="41">
        <f t="shared" si="7"/>
        <v>0</v>
      </c>
      <c r="N38" s="164"/>
      <c r="O38" s="165"/>
      <c r="P38" s="165"/>
      <c r="Q38" s="165"/>
      <c r="R38" s="165"/>
    </row>
    <row r="39" spans="1:13" s="49" customFormat="1" ht="15" customHeight="1">
      <c r="A39" s="45" t="s">
        <v>37</v>
      </c>
      <c r="B39" s="43">
        <f>SUM(B17:B38)</f>
        <v>44327.082200000004</v>
      </c>
      <c r="C39" s="43">
        <f>SUM(C17:C38)</f>
        <v>29694.5</v>
      </c>
      <c r="D39" s="43">
        <f>SUM(D17:D38)</f>
        <v>5209</v>
      </c>
      <c r="E39" s="43">
        <f>SUM(E17:E38)</f>
        <v>21713</v>
      </c>
      <c r="F39" s="43">
        <f>SUM(B39:E39)</f>
        <v>100943.5822</v>
      </c>
      <c r="G39" s="151">
        <f>AVERAGE(G2:G38)</f>
        <v>31.250625000000003</v>
      </c>
      <c r="H39" s="152">
        <f>SUM(H2:H38)</f>
        <v>1345.2780701864172</v>
      </c>
      <c r="I39"/>
      <c r="J39" s="43">
        <f>SUM(J2:J38)</f>
        <v>244532</v>
      </c>
      <c r="K39"/>
      <c r="L39" s="46">
        <f>F39/(J39-223192)</f>
        <v>4.73025221180881</v>
      </c>
      <c r="M39" s="46">
        <f>B39/(J39-223192)</f>
        <v>2.0771828584817245</v>
      </c>
    </row>
    <row r="40" spans="1:13" s="15" customFormat="1" ht="12.75">
      <c r="A40" s="58"/>
      <c r="B40" s="150">
        <f>B39/$G39</f>
        <v>1418.4382616347673</v>
      </c>
      <c r="C40" s="150">
        <f>C39/$G39</f>
        <v>950.2049959000819</v>
      </c>
      <c r="D40" s="150">
        <f>D39/$G39</f>
        <v>166.68466630667385</v>
      </c>
      <c r="E40" s="150">
        <f>E39/$G39</f>
        <v>694.8021039579207</v>
      </c>
      <c r="F40" s="47"/>
      <c r="G40" s="48"/>
      <c r="H40" s="47"/>
      <c r="I40"/>
      <c r="J40" s="47">
        <f>SUM(J17:J38)</f>
        <v>21340</v>
      </c>
      <c r="K40"/>
      <c r="L40" s="48"/>
      <c r="M40" s="48"/>
    </row>
    <row r="41" spans="1:13" s="15" customFormat="1" ht="11.25">
      <c r="A41" s="49"/>
      <c r="B41" s="49"/>
      <c r="C41" s="49"/>
      <c r="D41" s="49"/>
      <c r="E41" s="49"/>
      <c r="G41" s="49"/>
      <c r="H41" s="49"/>
      <c r="I41" s="49"/>
      <c r="J41" s="49"/>
      <c r="K41" s="49"/>
      <c r="L41" s="50"/>
      <c r="M41" s="49"/>
    </row>
    <row r="42" spans="1:12" s="15" customFormat="1" ht="12.75">
      <c r="A42" s="51" t="s">
        <v>38</v>
      </c>
      <c r="B42" s="52">
        <f>B39/$F39</f>
        <v>0.43912729500895403</v>
      </c>
      <c r="C42" s="52">
        <f>C39/$F39</f>
        <v>0.2941692711198434</v>
      </c>
      <c r="D42" s="52">
        <f>D39/$F39</f>
        <v>0.05160308249888917</v>
      </c>
      <c r="E42" s="52">
        <f>E39/$F39</f>
        <v>0.2151003513723134</v>
      </c>
      <c r="F42" s="163">
        <f>SUM(B42:E42)</f>
        <v>1</v>
      </c>
      <c r="L42" s="53"/>
    </row>
    <row r="43" s="15" customFormat="1" ht="11.25">
      <c r="L43" s="53"/>
    </row>
    <row r="44" s="15" customFormat="1" ht="11.25">
      <c r="L44" s="53"/>
    </row>
    <row r="45" s="15" customFormat="1" ht="11.25">
      <c r="L45" s="53"/>
    </row>
    <row r="46" s="15" customFormat="1" ht="11.25">
      <c r="L46" s="53"/>
    </row>
    <row r="47" s="15" customFormat="1" ht="11.25">
      <c r="L47" s="53"/>
    </row>
    <row r="48" s="15" customFormat="1" ht="11.25">
      <c r="L48" s="53"/>
    </row>
    <row r="49" spans="2:12" s="15" customFormat="1" ht="12.75">
      <c r="B49" s="102"/>
      <c r="L49" s="53"/>
    </row>
  </sheetData>
  <sheetProtection/>
  <mergeCells count="4">
    <mergeCell ref="N2:R2"/>
    <mergeCell ref="N6:R14"/>
    <mergeCell ref="N18:R26"/>
    <mergeCell ref="N30:R38"/>
  </mergeCells>
  <hyperlinks>
    <hyperlink ref="C2" location="деквосемь" display="деквосемь"/>
    <hyperlink ref="C3" location="янвдевять" display="янвдевять"/>
    <hyperlink ref="C4" location="февдевять" display="февдевять"/>
    <hyperlink ref="C5" location="мартдевять" display="мартдевять"/>
    <hyperlink ref="C6" location="апрдевять" display="апрдевять"/>
    <hyperlink ref="C8" location="июндевять" display="июндевять"/>
    <hyperlink ref="C7" location="майдевят" display="майдевят"/>
    <hyperlink ref="C9" location="июльдевять" display="июльдевять"/>
    <hyperlink ref="C10" location="авгдевять" display="авгдевять"/>
    <hyperlink ref="C11" location="сентдевять" display="сентдевять"/>
    <hyperlink ref="C12" location="октдевять" display="октдевять"/>
    <hyperlink ref="C13" location="ноябдевять" display="ноябдевять"/>
    <hyperlink ref="C15" location="янвдесять" display="янвдесять"/>
    <hyperlink ref="C14" location="декабдевять" display="декабдевять"/>
    <hyperlink ref="C27" location="янвдесять" display="янвдеся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74"/>
  <sheetViews>
    <sheetView zoomScalePageLayoutView="0" workbookViewId="0" topLeftCell="A46">
      <selection activeCell="A8" sqref="A8"/>
    </sheetView>
  </sheetViews>
  <sheetFormatPr defaultColWidth="9.00390625" defaultRowHeight="12.75"/>
  <cols>
    <col min="1" max="1" width="93.625" style="84" customWidth="1"/>
  </cols>
  <sheetData>
    <row r="1" ht="26.25">
      <c r="A1" s="83" t="s">
        <v>69</v>
      </c>
    </row>
    <row r="2" ht="12.75">
      <c r="A2" s="85" t="s">
        <v>74</v>
      </c>
    </row>
    <row r="3" ht="25.5">
      <c r="A3" s="84" t="s">
        <v>71</v>
      </c>
    </row>
    <row r="4" ht="12.75">
      <c r="A4" s="84" t="s">
        <v>103</v>
      </c>
    </row>
    <row r="5" ht="12.75">
      <c r="A5" s="84" t="s">
        <v>176</v>
      </c>
    </row>
    <row r="6" ht="12.75">
      <c r="A6" s="84" t="s">
        <v>102</v>
      </c>
    </row>
    <row r="7" ht="12.75">
      <c r="A7" s="84" t="s">
        <v>104</v>
      </c>
    </row>
    <row r="8" ht="12.75">
      <c r="A8" s="84" t="s">
        <v>70</v>
      </c>
    </row>
    <row r="9" ht="38.25">
      <c r="A9" s="84" t="s">
        <v>105</v>
      </c>
    </row>
    <row r="10" ht="51">
      <c r="A10" s="84" t="s">
        <v>159</v>
      </c>
    </row>
    <row r="11" ht="51">
      <c r="A11" s="84" t="s">
        <v>106</v>
      </c>
    </row>
    <row r="12" ht="25.5">
      <c r="A12" s="84" t="s">
        <v>72</v>
      </c>
    </row>
    <row r="13" ht="25.5">
      <c r="A13" s="84" t="s">
        <v>73</v>
      </c>
    </row>
    <row r="15" ht="12.75">
      <c r="A15" s="85" t="s">
        <v>82</v>
      </c>
    </row>
    <row r="16" ht="25.5">
      <c r="A16" s="84" t="s">
        <v>81</v>
      </c>
    </row>
    <row r="17" ht="38.25">
      <c r="A17" s="84" t="s">
        <v>169</v>
      </c>
    </row>
    <row r="19" ht="12.75">
      <c r="A19" s="85" t="s">
        <v>84</v>
      </c>
    </row>
    <row r="20" ht="51">
      <c r="A20" s="84" t="s">
        <v>107</v>
      </c>
    </row>
    <row r="21" ht="12.75">
      <c r="A21" s="84" t="s">
        <v>75</v>
      </c>
    </row>
    <row r="22" ht="12.75">
      <c r="A22" s="84" t="s">
        <v>76</v>
      </c>
    </row>
    <row r="23" ht="12.75">
      <c r="A23" s="84" t="s">
        <v>77</v>
      </c>
    </row>
    <row r="24" ht="12.75">
      <c r="A24" s="84" t="s">
        <v>78</v>
      </c>
    </row>
    <row r="25" ht="12.75">
      <c r="A25" s="84" t="s">
        <v>79</v>
      </c>
    </row>
    <row r="26" ht="12.75">
      <c r="A26" s="84" t="s">
        <v>80</v>
      </c>
    </row>
    <row r="27" ht="25.5">
      <c r="A27" s="87" t="s">
        <v>108</v>
      </c>
    </row>
    <row r="28" ht="12.75">
      <c r="A28" s="84" t="s">
        <v>109</v>
      </c>
    </row>
    <row r="29" ht="25.5">
      <c r="A29" s="84" t="s">
        <v>83</v>
      </c>
    </row>
    <row r="31" ht="12.75">
      <c r="A31" s="85" t="s">
        <v>85</v>
      </c>
    </row>
    <row r="32" ht="12.75">
      <c r="A32" s="84" t="s">
        <v>86</v>
      </c>
    </row>
    <row r="33" ht="38.25">
      <c r="A33" s="84" t="s">
        <v>170</v>
      </c>
    </row>
    <row r="34" ht="12.75">
      <c r="A34" s="84" t="s">
        <v>110</v>
      </c>
    </row>
    <row r="35" ht="63.75">
      <c r="A35" s="87" t="s">
        <v>175</v>
      </c>
    </row>
    <row r="36" ht="38.25">
      <c r="A36" s="88" t="s">
        <v>87</v>
      </c>
    </row>
    <row r="37" ht="12.75">
      <c r="A37" s="84" t="s">
        <v>88</v>
      </c>
    </row>
    <row r="39" ht="12.75">
      <c r="A39" s="85" t="s">
        <v>89</v>
      </c>
    </row>
    <row r="40" ht="25.5">
      <c r="A40" s="84" t="s">
        <v>111</v>
      </c>
    </row>
    <row r="41" ht="12.75">
      <c r="A41" s="84" t="s">
        <v>171</v>
      </c>
    </row>
    <row r="42" ht="25.5">
      <c r="A42" s="84" t="s">
        <v>90</v>
      </c>
    </row>
    <row r="43" ht="25.5">
      <c r="A43" s="84" t="s">
        <v>112</v>
      </c>
    </row>
    <row r="44" ht="12.75">
      <c r="A44" s="87" t="s">
        <v>91</v>
      </c>
    </row>
    <row r="45" ht="12.75">
      <c r="A45" s="84" t="s">
        <v>92</v>
      </c>
    </row>
    <row r="47" ht="12.75">
      <c r="A47" s="85" t="s">
        <v>160</v>
      </c>
    </row>
    <row r="48" ht="12.75">
      <c r="A48" s="84" t="s">
        <v>93</v>
      </c>
    </row>
    <row r="49" ht="25.5">
      <c r="A49" s="84" t="s">
        <v>113</v>
      </c>
    </row>
    <row r="50" ht="12.75">
      <c r="A50" s="84" t="s">
        <v>94</v>
      </c>
    </row>
    <row r="52" ht="12.75">
      <c r="A52" s="85" t="s">
        <v>95</v>
      </c>
    </row>
    <row r="53" ht="25.5">
      <c r="A53" s="84" t="s">
        <v>161</v>
      </c>
    </row>
    <row r="54" ht="47.25" customHeight="1">
      <c r="A54" s="84" t="s">
        <v>162</v>
      </c>
    </row>
    <row r="55" ht="25.5">
      <c r="A55" s="84" t="s">
        <v>163</v>
      </c>
    </row>
    <row r="56" ht="38.25">
      <c r="A56" s="84" t="s">
        <v>164</v>
      </c>
    </row>
    <row r="57" ht="25.5">
      <c r="A57" s="84" t="s">
        <v>165</v>
      </c>
    </row>
    <row r="58" ht="12.75">
      <c r="A58" s="84" t="s">
        <v>96</v>
      </c>
    </row>
    <row r="60" ht="12.75">
      <c r="A60" s="85" t="s">
        <v>97</v>
      </c>
    </row>
    <row r="61" ht="25.5">
      <c r="A61" s="84" t="s">
        <v>172</v>
      </c>
    </row>
    <row r="62" ht="12.75">
      <c r="A62" s="84" t="s">
        <v>173</v>
      </c>
    </row>
    <row r="63" ht="12.75">
      <c r="A63" s="84" t="s">
        <v>174</v>
      </c>
    </row>
    <row r="65" ht="12.75">
      <c r="A65" s="85" t="s">
        <v>98</v>
      </c>
    </row>
    <row r="66" ht="12.75">
      <c r="A66" s="84" t="s">
        <v>166</v>
      </c>
    </row>
    <row r="67" ht="12.75">
      <c r="A67" s="84" t="s">
        <v>167</v>
      </c>
    </row>
    <row r="68" ht="12.75">
      <c r="A68" s="84" t="s">
        <v>99</v>
      </c>
    </row>
    <row r="69" ht="12.75">
      <c r="A69" s="84" t="s">
        <v>168</v>
      </c>
    </row>
    <row r="70" ht="12.75">
      <c r="A70" s="84" t="s">
        <v>114</v>
      </c>
    </row>
    <row r="71" ht="25.5">
      <c r="A71" s="84" t="s">
        <v>100</v>
      </c>
    </row>
    <row r="73" ht="12.75">
      <c r="A73" s="85" t="s">
        <v>101</v>
      </c>
    </row>
    <row r="74" ht="12.75">
      <c r="A74" s="84" t="s">
        <v>115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Koreshkov</dc:creator>
  <cp:keywords/>
  <dc:description/>
  <cp:lastModifiedBy>user</cp:lastModifiedBy>
  <cp:lastPrinted>2008-10-09T10:51:37Z</cp:lastPrinted>
  <dcterms:created xsi:type="dcterms:W3CDTF">2002-05-17T05:31:04Z</dcterms:created>
  <dcterms:modified xsi:type="dcterms:W3CDTF">2011-03-15T04:16:04Z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