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еречень МКД" sheetId="1" r:id="rId1"/>
    <sheet name="Способы переселения" sheetId="2" r:id="rId2"/>
    <sheet name="Показатели" sheetId="3" r:id="rId3"/>
  </sheets>
  <definedNames/>
  <calcPr fullCalcOnLoad="1"/>
</workbook>
</file>

<file path=xl/sharedStrings.xml><?xml version="1.0" encoding="utf-8"?>
<sst xmlns="http://schemas.openxmlformats.org/spreadsheetml/2006/main" count="2503" uniqueCount="711">
  <si>
    <t>город Бердск Территория БПВТ им.Калинина дом  8</t>
  </si>
  <si>
    <t>город Бердск улица К.Маркса дом 12</t>
  </si>
  <si>
    <t>город Бердск улица  О. Кошевого дом 3</t>
  </si>
  <si>
    <t>город Бердск улица  О. Кошевого дом  5</t>
  </si>
  <si>
    <t>город Бердск улица  О. Кошевого дом  7</t>
  </si>
  <si>
    <t>город Бердск улица Попова дом  18</t>
  </si>
  <si>
    <t>город Бердск Территория санатория "Бердский" дом  3</t>
  </si>
  <si>
    <t>город Бердск Территория санатория «Бердский» дом 6а</t>
  </si>
  <si>
    <t>город Бердск Территория санатория «Бердский» дом 7а</t>
  </si>
  <si>
    <t>город Бердск Территория санатория "Бердский" дом  15а</t>
  </si>
  <si>
    <t>город Бердск Территория санатория "Бердский" дом  29</t>
  </si>
  <si>
    <t>город Карасук улица Пионерская дом 5</t>
  </si>
  <si>
    <t>город Карасук улица Заводская дом 5а</t>
  </si>
  <si>
    <t>город Карасук улица Трудовая дом 1б</t>
  </si>
  <si>
    <t>город Карасук улица Пионерская дом 9А</t>
  </si>
  <si>
    <t>город Карасук улица Куйбышева дом 26</t>
  </si>
  <si>
    <t>Итого по МО город  Куйбышев:</t>
  </si>
  <si>
    <t>горд Куйбышев улица  Агафонова дом 16</t>
  </si>
  <si>
    <t>Итого  по МО город Обь:</t>
  </si>
  <si>
    <t>Итого по МО  город Купино :</t>
  </si>
  <si>
    <t>город Купино улица Кооперативная дом 51</t>
  </si>
  <si>
    <t>город Купино улица Железнодорожная дом 88</t>
  </si>
  <si>
    <t>город Обь улица Горького дом 38</t>
  </si>
  <si>
    <t>город Обь улица Горького дом 55</t>
  </si>
  <si>
    <t>город Обь улица 2-я Северная дом 74</t>
  </si>
  <si>
    <t>город Обь улица Сигнальная дом 6</t>
  </si>
  <si>
    <t>город Обь улица Сигнальная дом 10</t>
  </si>
  <si>
    <t>город Обь улица Сигнальная дом 12</t>
  </si>
  <si>
    <t>город Обь улица Сигнальная дом 14</t>
  </si>
  <si>
    <t>город Обь улица Сигнальная дом 16</t>
  </si>
  <si>
    <t>город Обь улица 3316 км дом 1</t>
  </si>
  <si>
    <t>город Обь улица 3316 км дом 2</t>
  </si>
  <si>
    <t>город Обь улица 3316 км дом 3</t>
  </si>
  <si>
    <t>город Обь улица 3316 км дом 4</t>
  </si>
  <si>
    <t>город Обь улица 3316 км дом 5</t>
  </si>
  <si>
    <t>город Обь улица Военный городок 17</t>
  </si>
  <si>
    <t>город Обь улица Военный городок 20</t>
  </si>
  <si>
    <t>город Обь улица Военный городок 28</t>
  </si>
  <si>
    <t>город Обь улица Вокзальная дом 38</t>
  </si>
  <si>
    <t>город Обь улица Заводская дом 2</t>
  </si>
  <si>
    <t>город Обь улица Заводская дом 6</t>
  </si>
  <si>
    <t>город Обь улица Береговая дом 112</t>
  </si>
  <si>
    <t>город Обь улица О.Кошевого дом 22</t>
  </si>
  <si>
    <t>город Обь улица О.Кошевого дом 35</t>
  </si>
  <si>
    <t>город Татарск улица Ленина дом 60</t>
  </si>
  <si>
    <t>город Татарск улица  Есенина дом 6</t>
  </si>
  <si>
    <t>город Татарск улица  Гоголя дом  12</t>
  </si>
  <si>
    <t>город Татарск улица  Интернациональная дом  23</t>
  </si>
  <si>
    <t>город Татарск улица  Закриевского дом 35</t>
  </si>
  <si>
    <t>город Татарск улица  Закриевского дом 68</t>
  </si>
  <si>
    <t>город Татарск улица  Интернациональная дом  49</t>
  </si>
  <si>
    <t>город Татарск улица  Дружбы дом 80</t>
  </si>
  <si>
    <t>город Татарск улица  Урицкого дом 62</t>
  </si>
  <si>
    <t>город Татарск улица 1-й околоток дом 6</t>
  </si>
  <si>
    <t>город Татарск улица  Мичурина дом 23</t>
  </si>
  <si>
    <t>город Татарск улица  Дружбы дом 76</t>
  </si>
  <si>
    <t>Итого  по МО город Тогучин:</t>
  </si>
  <si>
    <t>город Тогучин улица Линейная дом 24</t>
  </si>
  <si>
    <t>город Тогучин улица Линейная дом 26</t>
  </si>
  <si>
    <t>город Тогучин улица Никитина дом 8</t>
  </si>
  <si>
    <t>город Тогучин улица  Островского дом 29</t>
  </si>
  <si>
    <t>город Тогучин улица Челюскинцев дом 7а</t>
  </si>
  <si>
    <t>город Тогучин улица Челюскинцев дом 9</t>
  </si>
  <si>
    <t>город Тогучин улица Челюскинцев дом 14</t>
  </si>
  <si>
    <t>город Тогучин улица Челюскинцев дом 18</t>
  </si>
  <si>
    <t>город Тогучин улица Челюскинцев дом 19</t>
  </si>
  <si>
    <t>город Тогучин улица Челюскинцев дом 20</t>
  </si>
  <si>
    <t>город Тогучин улица Челюскинцев дом 21</t>
  </si>
  <si>
    <t>город Тогучин улица Челюскинцев дом 24</t>
  </si>
  <si>
    <t>город Тогучин улица Челюскинцев дом 26</t>
  </si>
  <si>
    <t>город Тогучин улица Челюскинцев дом 28</t>
  </si>
  <si>
    <t>город Черепаново улица Добролюбова дом 25</t>
  </si>
  <si>
    <t>город Черепаново улица Заводская дом 10</t>
  </si>
  <si>
    <t>город Чулым  улица Транспортников дом 34 а</t>
  </si>
  <si>
    <t>Итого по МО рабочий поселок Маслянино:</t>
  </si>
  <si>
    <t>рабочий поселок Маслянино улица Советская дом 38</t>
  </si>
  <si>
    <t xml:space="preserve">рабочий поселок Маслянино улица Центральная дом 6 </t>
  </si>
  <si>
    <t>Итого  по МО рабочий поселок Сузун:</t>
  </si>
  <si>
    <t>рабочий поселок Сузун улица Молодежная дом 16</t>
  </si>
  <si>
    <t>рабочий поселок Сузун улица  Советская дом 3</t>
  </si>
  <si>
    <t>рабочий поселок Сузун улица  Заводская дом 2</t>
  </si>
  <si>
    <t>рабочий поселок Сузун улица  Молодежная дом 24</t>
  </si>
  <si>
    <t>рабочий поселок Сузун улица  Калинина дом 10</t>
  </si>
  <si>
    <t>рабочий поселок Сузун улица  Транспортная дом 10</t>
  </si>
  <si>
    <t>Итого  по МО рабочий поселок  Чаны:</t>
  </si>
  <si>
    <t>рабочий поселок  Чаны уица Победы дом 101</t>
  </si>
  <si>
    <t>рабочий поселок  Чаны уица Ленина дом  229</t>
  </si>
  <si>
    <t>рабочий поселок  Чаны уица Большевистская дом  6</t>
  </si>
  <si>
    <t>рабочий поселок  Чаны уица Линейная дом  15</t>
  </si>
  <si>
    <t>рабочий поселок  Чаны уица Линейная дом  17</t>
  </si>
  <si>
    <t>Итого  по МО Убинский сельсовет:</t>
  </si>
  <si>
    <t>село Убинское улица Станционная дом 3</t>
  </si>
  <si>
    <t>село Убинское улица Станционная дом 4</t>
  </si>
  <si>
    <t>село Убинское улица Станционная дом 6</t>
  </si>
  <si>
    <t xml:space="preserve">                                 ПРИЛОЖЕНИЕ № 2                                                к Региональной адресной программе Новосибирской области по переселению граждан из аварийного жилищного фонда с учетом необходимости развития малоэтажного жилищного строительства  на 2013-2015 годы</t>
  </si>
  <si>
    <t>город Бердск</t>
  </si>
  <si>
    <t>город Каргат</t>
  </si>
  <si>
    <t>город Татарск</t>
  </si>
  <si>
    <t>город Тогучин</t>
  </si>
  <si>
    <t>город Чулым</t>
  </si>
  <si>
    <t>Кыштовский сельсовет</t>
  </si>
  <si>
    <t>рабочий поселок Колывань</t>
  </si>
  <si>
    <t>рабочий поселок Краснозерское</t>
  </si>
  <si>
    <t>рабочий поселок Маслянино</t>
  </si>
  <si>
    <t>рабочий поселок  Чаны</t>
  </si>
  <si>
    <t>рабочий поселок Чистоозёрное</t>
  </si>
  <si>
    <t>город Куйбышев улица Панфилова, дом 15</t>
  </si>
  <si>
    <t>город Куйбышев улица Панфилова, дом 19</t>
  </si>
  <si>
    <t>город Куйбышев улица Панфилова, дом 20</t>
  </si>
  <si>
    <t>город Куйбышев улицаВатутина дом 11</t>
  </si>
  <si>
    <t>город Куйбышев улица Ватутина дом 12</t>
  </si>
  <si>
    <t>город Куйбышев улица Ватутина дом 15</t>
  </si>
  <si>
    <t>город Куйбышев улица Ватутина дом 16</t>
  </si>
  <si>
    <t>город Куйбышев улица Ватутина дом 17</t>
  </si>
  <si>
    <t>город Куйбышев улица Гуляева дом 68</t>
  </si>
  <si>
    <t>город Куйбышев улица Гуляева дом 70</t>
  </si>
  <si>
    <t>город Куйбышев улица Закраевского дом 50</t>
  </si>
  <si>
    <t>город Куйбышев улица Коммунистическая дом 3</t>
  </si>
  <si>
    <t>город Куйбышев улица Красная дом 45</t>
  </si>
  <si>
    <t>город Куйбышев улица Панфилова дом 21</t>
  </si>
  <si>
    <t>город Куйбышев улица Панфилова дом 23</t>
  </si>
  <si>
    <t>город Куйбышев улица Панфилова дом 24</t>
  </si>
  <si>
    <t>город Куйбышев улица Пиотровского дом 12</t>
  </si>
  <si>
    <t>город Куйбышев улица Пиотровского дом 14</t>
  </si>
  <si>
    <t>город Куйбышев улица Спиртзавод дом 16</t>
  </si>
  <si>
    <t>город Куйбышев улица Черняховского дом 9</t>
  </si>
  <si>
    <t>город Куйбышев улица Шишкова дом 16</t>
  </si>
  <si>
    <t>город Куйбышев улица Школьная дом 3</t>
  </si>
  <si>
    <t>Итого по МО город Купино:</t>
  </si>
  <si>
    <t>город Купино улица Советов дом 2</t>
  </si>
  <si>
    <t>Итого по МО город Обь:</t>
  </si>
  <si>
    <t>город Обь улица Садовая дом 24</t>
  </si>
  <si>
    <t>город Обь улица Садовая дом 26</t>
  </si>
  <si>
    <t>город Обь улица Садовая дом 30</t>
  </si>
  <si>
    <t>город Обь улица Садовая дом 21</t>
  </si>
  <si>
    <t>город Обь улица Чехова дом 52</t>
  </si>
  <si>
    <t>город Обь улица Горького дом 40</t>
  </si>
  <si>
    <t>город Обь улица Горького дом 57</t>
  </si>
  <si>
    <t>город Обь улица Горького дом 59</t>
  </si>
  <si>
    <t>город Обь улица Калинина дом 68</t>
  </si>
  <si>
    <t>город Обь улица Калинина дом 70</t>
  </si>
  <si>
    <t>Итого по МО город Татарску:</t>
  </si>
  <si>
    <t>город Татарск улица Гоголя дом 5</t>
  </si>
  <si>
    <t>город Татарск улица  Гоголя дом  8</t>
  </si>
  <si>
    <t>город Татарск улица Интернациональная дом  29</t>
  </si>
  <si>
    <t>город Татарск улица Ленина дом  118</t>
  </si>
  <si>
    <t>город Татарск улица Ленина дом 124</t>
  </si>
  <si>
    <t>город Татарск улица Ленина дом  128</t>
  </si>
  <si>
    <t>город Татарск улица Ленина дом 134</t>
  </si>
  <si>
    <t>город Татарск улица Дружбы дом  75</t>
  </si>
  <si>
    <t>город Татарск улица Дружбы дом  77</t>
  </si>
  <si>
    <t>город Татарск улица Пугачева дом  6</t>
  </si>
  <si>
    <t>город Татарск улица Клубная дом  24</t>
  </si>
  <si>
    <t>город Татарск улица Есенина дом  2</t>
  </si>
  <si>
    <t>город Татарск улица Южный дом  48</t>
  </si>
  <si>
    <t>город Татарск улица Нефтебаза дом 1</t>
  </si>
  <si>
    <t>Итого по МО город Тогучин:</t>
  </si>
  <si>
    <t>город Тогучин улица Береговая дом 1</t>
  </si>
  <si>
    <t>город Черепаново улица  Романова дом 5</t>
  </si>
  <si>
    <t>город Тогучин улица Вокзальная дом 29</t>
  </si>
  <si>
    <t>город Тогучин улица Вокзальная дом 50</t>
  </si>
  <si>
    <t>город Тогучин улица Крупской дом 16</t>
  </si>
  <si>
    <t>город Тогучин улица Крупской дом 18</t>
  </si>
  <si>
    <t>город Тогучин улица Линейная дом 4</t>
  </si>
  <si>
    <t>город Тогучин улица Никитина дом 4</t>
  </si>
  <si>
    <t>город Тогучин улица Никитина дом 6</t>
  </si>
  <si>
    <t>город Тогучин переулок Печатный дом 4</t>
  </si>
  <si>
    <t>Итого по МО  город Черепаново:</t>
  </si>
  <si>
    <t>город Черепаново улица К. Маркса дом  120</t>
  </si>
  <si>
    <t>город Черепаново улица К. Маркса дом  122</t>
  </si>
  <si>
    <t>город Черепаново улица Заводская дом  8</t>
  </si>
  <si>
    <t>город Черепаново улица Автономная дом  2 б</t>
  </si>
  <si>
    <t>Итого по МО город Чулым:</t>
  </si>
  <si>
    <t>город Чулым улица Кожемякина дом 93 а</t>
  </si>
  <si>
    <t>город Чулым улица Транспортников 18</t>
  </si>
  <si>
    <t>город Чулым улица Транспортников дом 15</t>
  </si>
  <si>
    <t>город Чулым улица Транспортников дом 22</t>
  </si>
  <si>
    <t>город Чулым улица .Транспортников дом 23</t>
  </si>
  <si>
    <t>город Чулым улица Транспортников дом 25</t>
  </si>
  <si>
    <t>город Чулым улица Транспортников дом 26</t>
  </si>
  <si>
    <t>город Чулым улица Транспортников дом 28</t>
  </si>
  <si>
    <t>город Чулым улица Транспортников дом 34</t>
  </si>
  <si>
    <t>Итого по МО Кыштовский сельсовет:</t>
  </si>
  <si>
    <t>село Кыштовка улица М.Горького дом 9</t>
  </si>
  <si>
    <t>село Кыштовка улица Центральная дом 6</t>
  </si>
  <si>
    <t>село Кыштовка улица Кооперативная дом 1</t>
  </si>
  <si>
    <t>1 квартал 2014</t>
  </si>
  <si>
    <t>I квартал 2014</t>
  </si>
  <si>
    <t>II квартал 2014</t>
  </si>
  <si>
    <t>Итого по МО  рабочий поселок Колывань:</t>
  </si>
  <si>
    <t>рабочий поселок Колывань улица Кирова дом 86</t>
  </si>
  <si>
    <t>рабочий поселок Колывань улица  Кирова дом 90</t>
  </si>
  <si>
    <t>рабочий поселок Колывань улица Ленина дом 30</t>
  </si>
  <si>
    <t>рабочий поселок Колывань улица  Революционный проспект дом 5</t>
  </si>
  <si>
    <t>рабочий поселок Колывань улица  Московская дом 32</t>
  </si>
  <si>
    <t>Итого по МО  рабочий поселок Краснозерское :</t>
  </si>
  <si>
    <t>рабочий поселок Краснозерское улица Советская дом 65</t>
  </si>
  <si>
    <t>рабочий поселок Краснозерское улица Панарина дом 34</t>
  </si>
  <si>
    <t>рабочий поселок Краснозерское улица Полевая дом 3</t>
  </si>
  <si>
    <t>рабочий поселок Краснозерское улица Полевая дом 7</t>
  </si>
  <si>
    <t>Итого по МО  рабочий поселок Маслянино :</t>
  </si>
  <si>
    <t>рабочий поселок Маслянино улица Пионерская дом 10</t>
  </si>
  <si>
    <t>город Карасук улица Степной переулок дом 2</t>
  </si>
  <si>
    <t xml:space="preserve">город Карасук улица Целинная дом 18                </t>
  </si>
  <si>
    <t xml:space="preserve">город Карасук улица Серегина дом  24                 </t>
  </si>
  <si>
    <t>город Карасук улица Трудовая дом 67</t>
  </si>
  <si>
    <t xml:space="preserve">город Карасук улица Пионерская дом  3               </t>
  </si>
  <si>
    <t xml:space="preserve">город Карасук улица Советская дом 66                </t>
  </si>
  <si>
    <t xml:space="preserve">город Карасук улица Сударева дом  65                 </t>
  </si>
  <si>
    <t xml:space="preserve">город Карасук улица Сибирскаядом 95               </t>
  </si>
  <si>
    <t>рабочий поселок Маслянино улица Восточная дом 28</t>
  </si>
  <si>
    <t>рабочий поселок Маслянино улица Учительская дом10</t>
  </si>
  <si>
    <t>рабочий поселок Маслянино улица Степная дом 10</t>
  </si>
  <si>
    <t>рабочий поселок Маслянино улица Партизанская дом 84</t>
  </si>
  <si>
    <t>рабочий поселок Маслянино улица Боровая дом 15</t>
  </si>
  <si>
    <t>рабочий поселок Маслянино улица Степная дом 2</t>
  </si>
  <si>
    <t>Итого по МО рабочий поселок Сузун:</t>
  </si>
  <si>
    <t>рабочий поселок Сузун улица  Комсомольская дом 22</t>
  </si>
  <si>
    <t>рабочий поселок Сузун улица   Заводская дом 66</t>
  </si>
  <si>
    <t>рабочий поселок Сузун улица  Куйбышева дом 1</t>
  </si>
  <si>
    <t>рабочий поселок Сузун улица   Калинина дом 9</t>
  </si>
  <si>
    <t>рабочий поселок Сузун улица   Строительная дом 7</t>
  </si>
  <si>
    <t>рабочий поселок Сузун улица  Транспортная дом 2</t>
  </si>
  <si>
    <t>рабочий поселок Сузун улица  Транспортная дом 19</t>
  </si>
  <si>
    <t>рабочий поселок Сузун улица  Транспортная дом 20</t>
  </si>
  <si>
    <t>рабочий поселок Сузун улица   Монтажная дом 10</t>
  </si>
  <si>
    <t>рабочий поселок Сузун улица  Комсомольская дом 1</t>
  </si>
  <si>
    <t>рабочий поселок Сузун улица   Ленина дом 63</t>
  </si>
  <si>
    <t>рабочий поселок Сузун улица   Мичурина дом 14</t>
  </si>
  <si>
    <t>Итого по МО рабочий поселок Чаны:</t>
  </si>
  <si>
    <t>рабочий поселок Чаны улица Маяковского дом 64</t>
  </si>
  <si>
    <t>рабочий поселок Чаны улица Максима Горького дом 28</t>
  </si>
  <si>
    <t>Итого  по МО рабочий поселок Чистоозёрное:</t>
  </si>
  <si>
    <t>рабочий поселок Чистоозёрное улица  Рабочая дом  77</t>
  </si>
  <si>
    <t>рабочий поселок Чистоозёрное улица Первомайская дом   87</t>
  </si>
  <si>
    <t>рабочий поселок Чистоозёрное улица О. Кошевого дом   21</t>
  </si>
  <si>
    <t>рабочий поселок Чистоозёрное улица        О. Кошевого дом   15</t>
  </si>
  <si>
    <t>рабочий поселок Чистоозёрное улица Ленина дом  18</t>
  </si>
  <si>
    <t>рабочий поселок Чистоозёрное улица Урицкого дом   27</t>
  </si>
  <si>
    <t>рабочий поселок Чистоозёрное улица Урицкого дом   20</t>
  </si>
  <si>
    <t>рабочий поселок Чистоозёрное улица Урицкого дом   19</t>
  </si>
  <si>
    <t>рабочий поселок Чистоозёрное улица О. Кошевого дом  32</t>
  </si>
  <si>
    <t>Итого  по МО Раисинский сельсовет:</t>
  </si>
  <si>
    <t>Итого по МО Убинский сельсовет:</t>
  </si>
  <si>
    <t>село Убинское улица Линейная дом 14</t>
  </si>
  <si>
    <t>село Убинское улица Майская дом 17</t>
  </si>
  <si>
    <t>село Убинское улица Станционная дом 5</t>
  </si>
  <si>
    <t>Итого по МО  Майский сельсовет:</t>
  </si>
  <si>
    <t>село Майское улица Комсомольская дом17</t>
  </si>
  <si>
    <t>село Майское улица Целинная д.5</t>
  </si>
  <si>
    <t>село Майское улица Ломоносова д.7</t>
  </si>
  <si>
    <t>село Майское улица  Ломоносова д.4</t>
  </si>
  <si>
    <t>2 квартал 2015</t>
  </si>
  <si>
    <t>город Барабинск  переулок Кузнечный дом 30</t>
  </si>
  <si>
    <t>город Барабинск  переулок Кузнечный дом 32</t>
  </si>
  <si>
    <t>город Барабинск улица Ульяновская дом 28</t>
  </si>
  <si>
    <t>город Барабинск улица Ульяновская дом 30</t>
  </si>
  <si>
    <t>город Барабинск улица Ульяновская дом 32</t>
  </si>
  <si>
    <t>город Барабинск  переулок Спортивный дом 1</t>
  </si>
  <si>
    <t>город Барабинск  переулок Спортивный дом 3</t>
  </si>
  <si>
    <t>город Барабинск улица Ульяновская дом 76</t>
  </si>
  <si>
    <t>город Барабинск улица Октябрьская дом 39</t>
  </si>
  <si>
    <t>город Барабинск переулок Кузнечный дом 28</t>
  </si>
  <si>
    <t>город Барабинск улица  Краскома дом 106</t>
  </si>
  <si>
    <t>город Барабинск улица Краскома дом 112</t>
  </si>
  <si>
    <t>город Барабинск улица Комарова дом 27</t>
  </si>
  <si>
    <t>город Барабинск улица  Ленина дом 118</t>
  </si>
  <si>
    <t>город Барабинск улица Деповская дом 9</t>
  </si>
  <si>
    <t>город Барабинск улица Деповская дом 11</t>
  </si>
  <si>
    <t>город Барабинск улица  Линейная дом 7</t>
  </si>
  <si>
    <t>г Барабинск переулок Водопроводный дом 14</t>
  </si>
  <si>
    <t>город Барабинск улица  Октябрьская дом  40</t>
  </si>
  <si>
    <t>город Барабинск улица  Ларионава дом 10</t>
  </si>
  <si>
    <t>город Барабинск улица Малая дом 3б</t>
  </si>
  <si>
    <t>город Барабинск улица Линейная дом 11</t>
  </si>
  <si>
    <t xml:space="preserve">город Бердск улица Кирова дом 3 </t>
  </si>
  <si>
    <t>город Бердск улица 2-я Линейная, 5</t>
  </si>
  <si>
    <t>город Бердск улица 2-я Линейная, 12</t>
  </si>
  <si>
    <t>город Бердск улица 2-я Линейная, 12а</t>
  </si>
  <si>
    <t>город Бердск улица  2-я Линейная, 15</t>
  </si>
  <si>
    <t>город Бердск улица  К. Маркса, 73</t>
  </si>
  <si>
    <t>город Бердск улица  Ленина, 132</t>
  </si>
  <si>
    <t>город Бердск улица Морская, 31</t>
  </si>
  <si>
    <t>город Бердск улица Новосибирская, 14</t>
  </si>
  <si>
    <t>город Бердск улица Озёрная, 32</t>
  </si>
  <si>
    <t>город Бердск улица Озёрная, 32а</t>
  </si>
  <si>
    <t>город Бердск улица Озёрная, 38</t>
  </si>
  <si>
    <t xml:space="preserve">город Карасук улица Сибирская дом 16               </t>
  </si>
  <si>
    <t xml:space="preserve">город Карасук улица Железнодорожная дом 23   </t>
  </si>
  <si>
    <t>город Карасук улица Степной переулок дом 4</t>
  </si>
  <si>
    <t xml:space="preserve">город Карасук улица Советская дом 56а              </t>
  </si>
  <si>
    <t xml:space="preserve">город Карасук улица Железнодорожная дом 22   </t>
  </si>
  <si>
    <t xml:space="preserve">город Карасук улица Железнодорожная дом 18  </t>
  </si>
  <si>
    <t xml:space="preserve">город Карасук улица Щорса дом 2а                      </t>
  </si>
  <si>
    <t xml:space="preserve">город Карасук улица Щорса дом 109                    </t>
  </si>
  <si>
    <t xml:space="preserve">город Карасук улица Свердлова дом 1                 </t>
  </si>
  <si>
    <t xml:space="preserve">город Карасук улица Свердлова дом 2                 </t>
  </si>
  <si>
    <t>Итого по МО город Карасук:</t>
  </si>
  <si>
    <t>Итого по город Куйбышев:</t>
  </si>
  <si>
    <t xml:space="preserve">I квартал 2015 </t>
  </si>
  <si>
    <t>II квартал 2015</t>
  </si>
  <si>
    <t>город Куйбышев улица Гуляева дом 60</t>
  </si>
  <si>
    <t>город Куйбышев улица Закраевского, дом 54</t>
  </si>
  <si>
    <t>город Куйбышев улица Курьянова, дом 12</t>
  </si>
  <si>
    <t>город Куйбышев улица Панфилова, дом 13</t>
  </si>
  <si>
    <t>город Куйбышев переулок Кузнецова дом 1</t>
  </si>
  <si>
    <t>город Куйбышев переулок Кошевого дом 5</t>
  </si>
  <si>
    <t>город Куйбышев переулок Кошевого дом 2</t>
  </si>
  <si>
    <t>город Куйбышев поселок Спиртзавод дом 17</t>
  </si>
  <si>
    <t>город Куйбышев поселок Спиртзавод дом 23</t>
  </si>
  <si>
    <t>город Куйбышев улица  Гуляева дом 64</t>
  </si>
  <si>
    <t>город Куйбышев улица Гуляева дом 23</t>
  </si>
  <si>
    <t>город Куйбышев улица Закраевского дом 31</t>
  </si>
  <si>
    <t>город Куйбышев улица Закраевского дом 39</t>
  </si>
  <si>
    <t>город Куйбышев улица Водостроевская дом 4</t>
  </si>
  <si>
    <t>город Куйбышев улица Володарского дом 17</t>
  </si>
  <si>
    <t>город Куйбышев улица Гуляева дом 31</t>
  </si>
  <si>
    <t>город Куйбышев улица Гуляева дом 33</t>
  </si>
  <si>
    <t>город Куйбышев улица Гуляева дом 35</t>
  </si>
  <si>
    <t>город Куйбышев улица Гуляева дом 66</t>
  </si>
  <si>
    <t>город Куйбышев улица Гуляева дом 37</t>
  </si>
  <si>
    <t>город Куйбышев улица  Гуляева дом 39</t>
  </si>
  <si>
    <t>город Куйбышев улица Гуляева дом 43</t>
  </si>
  <si>
    <t>город Куйбышев улица Гуляева дом 56</t>
  </si>
  <si>
    <t>город Куйбышев улица Гуляева дом 58</t>
  </si>
  <si>
    <t>город Куйбышев улица Закраевского дом 62</t>
  </si>
  <si>
    <t>город Куйбышев улица Закраевского дом 74</t>
  </si>
  <si>
    <t>город Куйбышев улица Закраевского дом 80</t>
  </si>
  <si>
    <t>город Куйбышев улица Закраевского дом 33</t>
  </si>
  <si>
    <t>город Куйбышев улица Здвинского дом 11</t>
  </si>
  <si>
    <t>город Куйбышев улица Ватутина дом 9</t>
  </si>
  <si>
    <t>город Куйбышев улица Ватутина дом 14</t>
  </si>
  <si>
    <t>город Куйбышев улица Ватутина дом 2</t>
  </si>
  <si>
    <t>город Куйбышев улица Ватутина дом 3</t>
  </si>
  <si>
    <t>город Куйбышев улица Ватутина дом 4</t>
  </si>
  <si>
    <t>город Куйбышев улица Ватутина дом 5</t>
  </si>
  <si>
    <t>город Куйбышев улица Заслонова дом 2</t>
  </si>
  <si>
    <t>город Куйбышев улица Заслонова дом 3</t>
  </si>
  <si>
    <t>город Куйбышев улица Заслонова дом 4</t>
  </si>
  <si>
    <t>город Куйбышев улица Панфилова дом 1</t>
  </si>
  <si>
    <t>город Куйбышев улица Панфилова дом 10</t>
  </si>
  <si>
    <t>город Куйбышев улица Панфилова дом 11</t>
  </si>
  <si>
    <t>город Куйбышев улица Панфилова дом 12</t>
  </si>
  <si>
    <t>город Куйбышев улица Красная дом 52</t>
  </si>
  <si>
    <t>город Куйбышев улица Ленина дом 17</t>
  </si>
  <si>
    <t>город Куйбышев улица Ленина дом 19</t>
  </si>
  <si>
    <t>город Куйбышев улица Макарова дом 20</t>
  </si>
  <si>
    <t>город Куйбышев улица Новосибирская дом 16</t>
  </si>
  <si>
    <t>город Куйбышев улица Песчаная дом 5</t>
  </si>
  <si>
    <t>город Куйбышев улица Кузнецова дом 5</t>
  </si>
  <si>
    <t>город Куйбышев улица Кузнецова дом 6</t>
  </si>
  <si>
    <t>город Куйбышев улица Кузнецова дом 8</t>
  </si>
  <si>
    <t>город Куйбышев улица  Кузнецова дом 9</t>
  </si>
  <si>
    <t>город Куйбышев улица Черняховского дом 1</t>
  </si>
  <si>
    <t>город Куйбышев улица Черняховского дом 2</t>
  </si>
  <si>
    <t>город Куйбышев улица Черняховского дом 3</t>
  </si>
  <si>
    <t>город Куйбышев улица Черняховского дом 4</t>
  </si>
  <si>
    <t>город Куйбышев улица Черняховского дом 5</t>
  </si>
  <si>
    <t>город Куйбышев улица Черняховского дом 6</t>
  </si>
  <si>
    <t>город Куйбышев улица Черняховского дом 8</t>
  </si>
  <si>
    <t>город Куйбышев улица Черняховского дом 10</t>
  </si>
  <si>
    <t>город Куйбышев улица Черняховского дом 11</t>
  </si>
  <si>
    <t>город Куйбышев улица Ватутина дом 1</t>
  </si>
  <si>
    <t>город Куйбышев улица Пиотровского дом 9а</t>
  </si>
  <si>
    <t>город Куйбышев улица Пролетарская дом 17</t>
  </si>
  <si>
    <t>город Куйбышев улица Толстого дом 5</t>
  </si>
  <si>
    <t>город Куйбышев улица Урицкого дом 5</t>
  </si>
  <si>
    <t>город Куйбышев улица Кузнецова дом 1</t>
  </si>
  <si>
    <t>город Куйбышев улица Кузнецова дом 2</t>
  </si>
  <si>
    <t>город Куйбышев улица Кузнецова дом 3</t>
  </si>
  <si>
    <t>город Куйбышев улица Кузнецова дом 4</t>
  </si>
  <si>
    <t>город Куйбышев улица Рабочая дом 5</t>
  </si>
  <si>
    <t>город Куйбышев улица Рабочая дом 7</t>
  </si>
  <si>
    <t>город Куйбышев улица Рабочая дом 7а</t>
  </si>
  <si>
    <t>город Куйбышев улица Рабочая дом 11</t>
  </si>
  <si>
    <t>город Куйбышев улица Копьева дом 14</t>
  </si>
  <si>
    <t>город Куйбышев улица Первомайская дом 22</t>
  </si>
  <si>
    <t>город Куйбышев улица Водостроевская дом 1</t>
  </si>
  <si>
    <t>город Куйбышев улица Водостроевская дом 3</t>
  </si>
  <si>
    <t>город Куйбышев улица Водостроевская дом 5</t>
  </si>
  <si>
    <t>город Куйбышев улица Водостроевская дом 7</t>
  </si>
  <si>
    <t>город Куйбышев улица Водостроевская дом 9</t>
  </si>
  <si>
    <t>город Куйбышев улица Володарского дом 57</t>
  </si>
  <si>
    <t>город Куйбышев улица Володарского дом 59а</t>
  </si>
  <si>
    <t>город Куйбышев улица Копейкина дом 48</t>
  </si>
  <si>
    <t>город Куйбышев улица Пионерская дом 4</t>
  </si>
  <si>
    <t>город Куйбышев улица Пионерская дом 7</t>
  </si>
  <si>
    <t>город Куйбышев улица Панфилова дом 16</t>
  </si>
  <si>
    <t>город Куйбышев улица Панфилова дом 17</t>
  </si>
  <si>
    <t>город Куйбышев улица Панфилова дом 18</t>
  </si>
  <si>
    <t>город Куйбышев улица Панфилова дом 22</t>
  </si>
  <si>
    <t>город Куйбышев улица Панфилова дом 4</t>
  </si>
  <si>
    <t>город Куйбышев улица Панфилова дом 5</t>
  </si>
  <si>
    <t>город Куйбышев улица Панфилова дом 7</t>
  </si>
  <si>
    <t>город Куйбышев улица Панфилова дом 8</t>
  </si>
  <si>
    <t>город Куйбышев улица Здвинского дом 4</t>
  </si>
  <si>
    <t>город Куйбышев улица Красная дом 24</t>
  </si>
  <si>
    <t>город Куйбышев улица Трудовая дом 2</t>
  </si>
  <si>
    <t>г. Куйбышев, поселок Спиртзавод дом 20</t>
  </si>
  <si>
    <t>г. Куйбышев, поселок Спиртзавод дом 21</t>
  </si>
  <si>
    <t>город Куйбышев поселок Спиртзавод дом 24</t>
  </si>
  <si>
    <t>город Куйбышев улица Чехова дом 14</t>
  </si>
  <si>
    <t>город Куйбышев улица Здвинского дом 13</t>
  </si>
  <si>
    <t>город Куйбышев улица Карла Либкнехта дом 46</t>
  </si>
  <si>
    <t>город Куйбышев улица Коммунальная дом 12</t>
  </si>
  <si>
    <t>город Куйбышев улица  Коммунальная дом 14</t>
  </si>
  <si>
    <t>город Куйбышев улица Коммунистическая дом 27</t>
  </si>
  <si>
    <t>город Куйбышев улица Копьева дом 2</t>
  </si>
  <si>
    <t>город Куйбышев улица Копьева дом 4</t>
  </si>
  <si>
    <t>город Куйбышев улица Копьева дом 8</t>
  </si>
  <si>
    <t>город Куйбышев улица Агафонова дом 49</t>
  </si>
  <si>
    <t>город Куйбышев улица  Панфилова дом 14</t>
  </si>
  <si>
    <t>город Куйбышев улица Смирнова дом 2</t>
  </si>
  <si>
    <t>Итого по МО  город Купино:</t>
  </si>
  <si>
    <t>город Купино улица Кирова дом 98</t>
  </si>
  <si>
    <t>1 квартал 2015</t>
  </si>
  <si>
    <t>Итого  по МО  город Обь:</t>
  </si>
  <si>
    <t>город Обь улица Станционная дом 2</t>
  </si>
  <si>
    <t>город Обь улица Станционная  дом 7</t>
  </si>
  <si>
    <t>город Обь улица Строительная дом 33</t>
  </si>
  <si>
    <t>город Обь улица Строительная дом 35</t>
  </si>
  <si>
    <t>город Обь улица Строительная дом 37</t>
  </si>
  <si>
    <t>город Обь улица Строительная дом 39</t>
  </si>
  <si>
    <t>город Обь улица Строительная дом 41</t>
  </si>
  <si>
    <t>город Обь улица Шевченко дом 8</t>
  </si>
  <si>
    <t>город Обь улица Шевченко дом 10</t>
  </si>
  <si>
    <t>город Обь улица Шевченко дом 12</t>
  </si>
  <si>
    <t>город Обь улица Шевченко дом 14</t>
  </si>
  <si>
    <t>город Обь улица Шевченко дом 16</t>
  </si>
  <si>
    <t>город Обь улица Шевченко дом 18</t>
  </si>
  <si>
    <t>город Обь улица Шевченко дом 20</t>
  </si>
  <si>
    <t>город Обь улица Кирова дом 9</t>
  </si>
  <si>
    <t>город Обь улица Кирова дом 13</t>
  </si>
  <si>
    <t>город Обь улица Кирова дом 14</t>
  </si>
  <si>
    <t>город Обь улица Кирова дом 15</t>
  </si>
  <si>
    <t>город Обь улица Кирова дом 16</t>
  </si>
  <si>
    <t>город Обь улица Кирова дом 17</t>
  </si>
  <si>
    <t>город Обь улица Кирова дом 18</t>
  </si>
  <si>
    <t>город Обь улица Кирова дом 19</t>
  </si>
  <si>
    <t>город Обь улица Кирова дом 20</t>
  </si>
  <si>
    <t>город Обь улица Кирова дом 21</t>
  </si>
  <si>
    <t>город Обь улица Кирова дом 25</t>
  </si>
  <si>
    <t>город Обь улица Кирова дом 27</t>
  </si>
  <si>
    <t>город Обь улица Кирова дом 28</t>
  </si>
  <si>
    <t>город Обь улица Кирова дом 30</t>
  </si>
  <si>
    <t>Итого по МО город Татарск:</t>
  </si>
  <si>
    <t>город Татарск улица Интернациональная дом 31</t>
  </si>
  <si>
    <t>Итого  по МО  город Тогучин:</t>
  </si>
  <si>
    <t>город Татарск улица Нефтебаза дом 3</t>
  </si>
  <si>
    <t>город Татарск улица Нефтебаза дом 5</t>
  </si>
  <si>
    <t>город Татарск улица 1-й околоток дом  3</t>
  </si>
  <si>
    <t>город Татарск улица Ленина дом  65</t>
  </si>
  <si>
    <t>город Татарск улица Энергоучасток дом 5</t>
  </si>
  <si>
    <t>город Татарск улица О.Кошевого дом  65</t>
  </si>
  <si>
    <t>город Татарск улица           О. Кошевого дом 67</t>
  </si>
  <si>
    <t>город Татарск улица  О.Кошевого дом  69</t>
  </si>
  <si>
    <t>город Татарск улица  Клубная дом  22</t>
  </si>
  <si>
    <t>город Татарск улица  Клубная дом  26</t>
  </si>
  <si>
    <t>город Татарск улица  Клубная дом  28</t>
  </si>
  <si>
    <t>город Тогучин улица Бригадная дом 5</t>
  </si>
  <si>
    <t>город Тогучин улица Бригадная дом 7</t>
  </si>
  <si>
    <t>город Тогучин улица Бригадная дом 8а</t>
  </si>
  <si>
    <t>город Тогучин улица Бригадная дом 26</t>
  </si>
  <si>
    <t>город Тогучин улица Бригадная дом 28</t>
  </si>
  <si>
    <t>город Тогучин улица Вокзальная дом 31</t>
  </si>
  <si>
    <t>город Тогучин улица Вокзальная дом 52</t>
  </si>
  <si>
    <t>город Тогучин улица Лапина дом 2</t>
  </si>
  <si>
    <t>город Тогучин улица Линейная дом 1</t>
  </si>
  <si>
    <t>город Тогучин улица Линейная дом 4а</t>
  </si>
  <si>
    <t>город Тогучин улица Линейная дом 6</t>
  </si>
  <si>
    <t>город Тогучин улица Линейная дом 19а</t>
  </si>
  <si>
    <t>город Тогучин улица Линейная дом 19б</t>
  </si>
  <si>
    <t>город Тогучин улица Линейная дом 20</t>
  </si>
  <si>
    <t>город Тогучин улица Линейная дом 22</t>
  </si>
  <si>
    <t>город Тогучин улица Пролетарская дом 49</t>
  </si>
  <si>
    <t>город Тогучин улица Театральная дом 9</t>
  </si>
  <si>
    <t>Итого по МО город Черепаново:</t>
  </si>
  <si>
    <t>город Черепаново улица К. Маркса дом 123</t>
  </si>
  <si>
    <t>город Черепаново улица  Цыцаркина дом 1</t>
  </si>
  <si>
    <t>город Черепаново улица Пролетарская дом79</t>
  </si>
  <si>
    <t>город Черепаново улица Свободная дом 59</t>
  </si>
  <si>
    <t>Итого  по МО город Чулым:</t>
  </si>
  <si>
    <t>город Чулым улица Транспортников дом 8</t>
  </si>
  <si>
    <t>город Чулым улица Транспортников дом 10</t>
  </si>
  <si>
    <t>город Чулым улица Транспортников дом 12</t>
  </si>
  <si>
    <t>город Чулым улица Транспортников дом 14</t>
  </si>
  <si>
    <t>город Чулым улица Транспортников дом 17</t>
  </si>
  <si>
    <t>город Чулым улица Транспортников дом 30</t>
  </si>
  <si>
    <t>город Чулым улица Транспортников дом 32</t>
  </si>
  <si>
    <t>город Чулым улица Транспортников дом 36</t>
  </si>
  <si>
    <t>город Чулым улица Транспортников дом 19</t>
  </si>
  <si>
    <t>город Чулым улица Транспортников дом 20</t>
  </si>
  <si>
    <t>город Чулым улица Транспортников дом 24</t>
  </si>
  <si>
    <t>город Чулым улица Транспортников дом 27</t>
  </si>
  <si>
    <t>город Чулым улица Транспортников дом 29</t>
  </si>
  <si>
    <t>город Чулым улица Транспортников дом 34 б</t>
  </si>
  <si>
    <t>город Чулым улица Транспортников дом 34 в</t>
  </si>
  <si>
    <t>город Чулым улица Кожемякина дом 54</t>
  </si>
  <si>
    <t>город Чулым улица Лермонтова дом 8</t>
  </si>
  <si>
    <t>Итого  по МО  Кыштовский сельсовет:</t>
  </si>
  <si>
    <t>село Кыштовка улица Мелиораторов домов 34</t>
  </si>
  <si>
    <t>рабочий поселок Маслянино переулок Лесной дом 1</t>
  </si>
  <si>
    <t>рабочий поселок Маслянино улица Советская дом 42</t>
  </si>
  <si>
    <t>рабочий поселок Маслянино улица  Степная дом17</t>
  </si>
  <si>
    <t>рабочий поселок Маслянино улица   Озерная дом 86</t>
  </si>
  <si>
    <t>Итого  по МО  рабочий поселок Сузун:</t>
  </si>
  <si>
    <t>Итого по МО рабочий поселокМаслянино:</t>
  </si>
  <si>
    <t>рабочий поселок Сузун рзд Новоосиновый дом 1</t>
  </si>
  <si>
    <t>рабочий поселок Сузун рзд Новоосиновый дом 2</t>
  </si>
  <si>
    <t>рабочий поселок Сузун рзд Новоосиновый дом 3</t>
  </si>
  <si>
    <t>рабочий поселок Сузун рзд Новоосиновый дом 4</t>
  </si>
  <si>
    <t>рабочий поселок Сузун рзд Новоосиновый дом 5</t>
  </si>
  <si>
    <t>рабочий поселок Сузун рзд Новоосиновый дом 7</t>
  </si>
  <si>
    <t>Итого  по МО рабочий поселок Чаны:</t>
  </si>
  <si>
    <t xml:space="preserve"> рабочий поселок Чаны улица Линейная дом 37</t>
  </si>
  <si>
    <t xml:space="preserve"> рабочий поселок Чаны улица Кирова дом  13</t>
  </si>
  <si>
    <t xml:space="preserve"> рабочий поселок Чаны улица Кирова дом  15</t>
  </si>
  <si>
    <t xml:space="preserve"> рабочий поселок Чаны улица Чапаева дом  45</t>
  </si>
  <si>
    <t xml:space="preserve"> рабочий поселок Чаны улица Братьев Желтиковых дом 161</t>
  </si>
  <si>
    <t>Итого  по МО  Убинский сельсовет:</t>
  </si>
  <si>
    <t>город Барабинск улица Ленина дом 101</t>
  </si>
  <si>
    <t>город Барабинск улица  Ленина дом  69</t>
  </si>
  <si>
    <t>город Барабинск улица  Стрельникова дом  3</t>
  </si>
  <si>
    <t>город Барабинск улица  Ленина дом  124</t>
  </si>
  <si>
    <t>город Барабинск улица  Мичурина дом  1</t>
  </si>
  <si>
    <t xml:space="preserve">4 квартал 2015  </t>
  </si>
  <si>
    <t>город Бердск Территория БПВТ им.Калинина дом 4</t>
  </si>
  <si>
    <t>по переселению граждан из аварийного жилищного фонда</t>
  </si>
  <si>
    <t>Перечень аварийных многоквартирных домов</t>
  </si>
  <si>
    <t>№ п/п</t>
  </si>
  <si>
    <t>Адрес МКД</t>
  </si>
  <si>
    <t>Документ, подтверждающий признание МКД аварийным</t>
  </si>
  <si>
    <t>Планируемая дата  окончания переселения</t>
  </si>
  <si>
    <t>Число жителей всего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</si>
  <si>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</si>
  <si>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</si>
  <si>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</si>
  <si>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</si>
  <si>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Дополнительные источники финансирования</t>
  </si>
  <si>
    <t>Всего</t>
  </si>
  <si>
    <t>в том числе:</t>
  </si>
  <si>
    <t>всего:</t>
  </si>
  <si>
    <t>Номер</t>
  </si>
  <si>
    <t>Дата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</si>
  <si>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</si>
  <si>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</si>
  <si>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</si>
  <si>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</si>
  <si>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</si>
  <si>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</si>
  <si>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</t>
  </si>
  <si>
    <t>ед.</t>
  </si>
  <si>
    <t>руб.</t>
  </si>
  <si>
    <t>Реестр аварийных многоквартирных домов по способам переселения</t>
  </si>
  <si>
    <t xml:space="preserve">Расселяемая площадь </t>
  </si>
  <si>
    <t>Стоимость всего</t>
  </si>
  <si>
    <t>дополнительные источники финансирования</t>
  </si>
  <si>
    <t>Нормативная стоимость 1 кв.м</t>
  </si>
  <si>
    <t>всего</t>
  </si>
  <si>
    <t>площадь</t>
  </si>
  <si>
    <t>стоимость</t>
  </si>
  <si>
    <t>удельная стоимость 1 кв. м</t>
  </si>
  <si>
    <t>Планируемые показатели выполнения адресной программы</t>
  </si>
  <si>
    <t>Наименование МО</t>
  </si>
  <si>
    <t>Расселенная площадь</t>
  </si>
  <si>
    <t>Количество расселенных помещений</t>
  </si>
  <si>
    <t>Количество переселенных жителей</t>
  </si>
  <si>
    <t>Итого по программе:</t>
  </si>
  <si>
    <t>Планируемая дата сноса или реконструкции МКД</t>
  </si>
  <si>
    <t>Итого  по Новосибирской области за 2013-2015 гг.:</t>
  </si>
  <si>
    <t>Итого по Новосибирской области за 2013 г.:</t>
  </si>
  <si>
    <t>Итого  по Новосибирской области  за 2014 г.:</t>
  </si>
  <si>
    <t>Итого  по Новосибирской области за 2015 г.:</t>
  </si>
  <si>
    <t>Итого по МО г. Барабинск:</t>
  </si>
  <si>
    <t xml:space="preserve"> 30.03.2004 </t>
  </si>
  <si>
    <t>город Барабинск</t>
  </si>
  <si>
    <t>город Карасук</t>
  </si>
  <si>
    <t>3а</t>
  </si>
  <si>
    <t>8а</t>
  </si>
  <si>
    <t>11-з</t>
  </si>
  <si>
    <t>13-а</t>
  </si>
  <si>
    <t>город Купино</t>
  </si>
  <si>
    <t>город  Куйбышев</t>
  </si>
  <si>
    <t>б/н</t>
  </si>
  <si>
    <t>21.02.2004</t>
  </si>
  <si>
    <t>город Обь</t>
  </si>
  <si>
    <t>город Черепаново</t>
  </si>
  <si>
    <t>Майский сельсовет</t>
  </si>
  <si>
    <t>4 квартал 2014</t>
  </si>
  <si>
    <t>Раисинский сельсовет</t>
  </si>
  <si>
    <t>Убинский сельсовет</t>
  </si>
  <si>
    <t>город Барабинск улица Олега Сачевского дом 10</t>
  </si>
  <si>
    <t>город Барабинск улица  Олега Сачевского дом12</t>
  </si>
  <si>
    <t>город Барабинск улица  Советская дом 128</t>
  </si>
  <si>
    <t>город Барабинск улица  Ленина дом 127</t>
  </si>
  <si>
    <t>город Барабинск переулок Обводной дом 1</t>
  </si>
  <si>
    <t xml:space="preserve">город Барабинск улица Линейная дом  9 </t>
  </si>
  <si>
    <t>город Барабинск улица  Комарова дом 2</t>
  </si>
  <si>
    <t>город Барабинск улица  Комарова дом 6</t>
  </si>
  <si>
    <t>город Барабинск улица  Советская дом  130</t>
  </si>
  <si>
    <t>город Барабинск улица Советская дом  132</t>
  </si>
  <si>
    <t>город Барабинск переулок Строительный дом 6</t>
  </si>
  <si>
    <t>город Барабинск улица Линейная дом  3а</t>
  </si>
  <si>
    <t>город Барабинск улица  Ленина дом 108</t>
  </si>
  <si>
    <t>город Барабинск улица Ленина дом 106</t>
  </si>
  <si>
    <t>город Барабинск улица  Деповская дом  5</t>
  </si>
  <si>
    <t>город Барабинск улица  Деповская дом 7</t>
  </si>
  <si>
    <t>город Барабинск улица  Линейная дом 11а</t>
  </si>
  <si>
    <t>город Барабинск улица  Линейная дом  13</t>
  </si>
  <si>
    <t>город Барабинск улица  Линейная дом 5</t>
  </si>
  <si>
    <t>город Барабинск улица  Маслова дом  19</t>
  </si>
  <si>
    <t>город Барабинск улица Советская дом 175</t>
  </si>
  <si>
    <t>город Барабинск улица  Линейная дом 15</t>
  </si>
  <si>
    <t>город Барабинск улица Линейная дом  17</t>
  </si>
  <si>
    <t>Итого по МО город Барабинск:</t>
  </si>
  <si>
    <t>Итого по МО город Бердск:</t>
  </si>
  <si>
    <t>город Бердск улица Вокзальная дом 19</t>
  </si>
  <si>
    <t>город Бердск улица Ленина дом 128</t>
  </si>
  <si>
    <t>город Бердск улица Ленина дом 136</t>
  </si>
  <si>
    <t>город Бердск улица  1-я Линейная дом 15</t>
  </si>
  <si>
    <t>город Бердск улица  Первомайская дом  16</t>
  </si>
  <si>
    <t>город Бердск улица  Первомайская дом  18а</t>
  </si>
  <si>
    <t>город Бердск улица Первомайская дом  22</t>
  </si>
  <si>
    <t>город Бердск Территория БПВТ имени Калинина дом  30</t>
  </si>
  <si>
    <t>город Бердск Территория санатория «Бердский» дом 5б</t>
  </si>
  <si>
    <t xml:space="preserve">2 квартал 2014 </t>
  </si>
  <si>
    <t xml:space="preserve">Итого по МО город Карасук: </t>
  </si>
  <si>
    <t>Итого по МО город Каргат:</t>
  </si>
  <si>
    <t>город Каргат улица Промышленная дом 30</t>
  </si>
  <si>
    <t>город Каргат улица Элеваторская дом  2</t>
  </si>
  <si>
    <t>город Каргат улица Транспортная дом 48</t>
  </si>
  <si>
    <t>город Каргат улица Трудовая дом 16</t>
  </si>
  <si>
    <t>город Каргат улица Октябрьская дом  5</t>
  </si>
  <si>
    <t>город Каргат улица Советская дом 132</t>
  </si>
  <si>
    <t>город Каргат улица Советская дом 120а</t>
  </si>
  <si>
    <t>город Каргат улица Транспортная дом  33</t>
  </si>
  <si>
    <t>Итого по МО город Куйбышев:</t>
  </si>
  <si>
    <t>город Куйбышев улица Ватутина  дом 6</t>
  </si>
  <si>
    <t>рабочий поселок Сузун</t>
  </si>
  <si>
    <t xml:space="preserve">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к Региональной адресной программе Новосибирской области по переселению граждан из аварийного жилищного фонда с учетом необходимости развития малоэтажного жилищного строительства  на 2013-2015 годы</t>
  </si>
  <si>
    <t>в том числе</t>
  </si>
  <si>
    <t>село Убинское улица Пролетарская дом 9</t>
  </si>
  <si>
    <t>село Убинское улица Станционная дом 2</t>
  </si>
  <si>
    <t>село Убинское улица Элеваторная дом 7а</t>
  </si>
  <si>
    <t>Применяемые сокращения:</t>
  </si>
  <si>
    <t>Применяемое сокращение:</t>
  </si>
  <si>
    <t>Строительство МКД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</si>
  <si>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</si>
  <si>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</si>
  <si>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</si>
  <si>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 xml:space="preserve">село Раисино, ул. Лесная, 3 </t>
  </si>
  <si>
    <t>город Купино улица Преображенская дом 56</t>
  </si>
  <si>
    <t>город Купино улица Железнодорожная дом 18</t>
  </si>
  <si>
    <t>город Чулым улица Транспортников дом 11</t>
  </si>
  <si>
    <t>город Куйбышев улица Красная дом 14</t>
  </si>
  <si>
    <t>город  Куйбышев улица Красная дом 22</t>
  </si>
  <si>
    <t>город  Куйбышев улица Красная дом 43</t>
  </si>
  <si>
    <t>город  Куйбышев улица Красная дом 49</t>
  </si>
  <si>
    <t>город Куйбышев переулок Кошевого дом 3</t>
  </si>
  <si>
    <t>город Куйбышев улица Пугачева дом 11</t>
  </si>
  <si>
    <t>город  Куйбышев улица  Октябрьская дом 9</t>
  </si>
  <si>
    <t>город  Куйбышев улица Ветка дом 1</t>
  </si>
  <si>
    <t>город Куйбышев улица Ленина дом 5</t>
  </si>
  <si>
    <t>город  Куйбышев улица Агафонова дом 18</t>
  </si>
  <si>
    <t>город  Куйбышев улица Панфилова дом 9</t>
  </si>
  <si>
    <t>город  Куйбышев улица Смирнова дом 11</t>
  </si>
  <si>
    <t>город  Куйбышев переулок Кузнецова  дом 3</t>
  </si>
  <si>
    <t>город Куйбышев улица  1-я Красноармейская дом 14</t>
  </si>
  <si>
    <t>город  Куйбышев улица Войкова дом 2</t>
  </si>
  <si>
    <t>город  Куйбышев улица  1 Декабря дом 51</t>
  </si>
  <si>
    <t>город  Куйбышев улица Агафонова дом 23</t>
  </si>
  <si>
    <t>город  Куйбышев улица Агафонова дом 29</t>
  </si>
  <si>
    <t>город  Куйбышев улица Агафонова дом 41</t>
  </si>
  <si>
    <t>город  Куйбышев улица Агафонова дом 47</t>
  </si>
  <si>
    <t>город  Куйбышев улица Водостроевская дом 20</t>
  </si>
  <si>
    <t>город  Куйбышев улица Урицкого дом 27</t>
  </si>
  <si>
    <t>город  Куйбышев улица  Пионерская дом 2</t>
  </si>
  <si>
    <t>город  Куйбышев улица Красная дом 14</t>
  </si>
  <si>
    <t>город Куйбышев улица Красная дом 22</t>
  </si>
  <si>
    <t>город Куйбышев улица Красная дом 43</t>
  </si>
  <si>
    <t>город  Куйбышев переулок Кошевого дом 3</t>
  </si>
  <si>
    <t>город Куйбышев, улица Ленина дом 5</t>
  </si>
  <si>
    <t>город  Куйбышев улица  Агафонова дом 16</t>
  </si>
  <si>
    <t>город Куйбышев улица Агафонова дом 18</t>
  </si>
  <si>
    <t>город Куйбышев переулок Кузнецова  дом 3</t>
  </si>
  <si>
    <t>город  Куйбышев улица  1-я Красноармейская дом 14</t>
  </si>
  <si>
    <t>город Куйбышев улица Войкова дом 2</t>
  </si>
  <si>
    <t>город Куйбышев улица Агафонова дом 41</t>
  </si>
  <si>
    <t>город Куйбышев улица Водостроевская дом 20</t>
  </si>
  <si>
    <t>город Куйбышев улица Урицкого дом 27</t>
  </si>
  <si>
    <t>город Куйбышев улица  Пионерская дом 2</t>
  </si>
  <si>
    <t>2013 год</t>
  </si>
  <si>
    <t>2014  год</t>
  </si>
  <si>
    <t>2015  год</t>
  </si>
  <si>
    <t xml:space="preserve">                            ПРИЛОЖЕНИЕ № 3                                                                            к Региональной адресной программе Новосибирской области по переселению граждан из аварийного жилищного фонда с учетом необходимости развития малоэтажного жилищного строительства  на 2013-2015 годы</t>
  </si>
  <si>
    <t>¾ от нормативной стоимости 1 кв.м</t>
  </si>
  <si>
    <t>город Чулым улица Транспортников дом 18</t>
  </si>
  <si>
    <t>рабочий поселок Чистоозёрное улица Ленина  дом 16</t>
  </si>
  <si>
    <t>город Барабинск улица  Ларионова дом 12</t>
  </si>
  <si>
    <t>рабочий поселок Чистоозёрное улица Ленина дом 16</t>
  </si>
  <si>
    <t>город Барабинск улица  Ларионова дом 10</t>
  </si>
  <si>
    <t>МКД – многоквартирый жилой дом;</t>
  </si>
  <si>
    <t>Фонд – Фонд содействия реформированию жилищно-коммунального хозяйства.</t>
  </si>
  <si>
    <t>МО – муниципальное образование;</t>
  </si>
  <si>
    <t>МО – муниципальное образование.</t>
  </si>
  <si>
    <t>Число жителей, планируемых к переселению</t>
  </si>
  <si>
    <t>город Татарск улица 30 лет ВЛКСМ дом 143</t>
  </si>
  <si>
    <t>город Чулым улица Транспортников дом 23</t>
  </si>
  <si>
    <t>город Куйбышев улица Ватутина дом 11</t>
  </si>
  <si>
    <t>г. Барабинск переулок Водопроводный дом 14</t>
  </si>
  <si>
    <t>№
 п/п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</si>
</sst>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_р_."/>
    <numFmt numFmtId="187" formatCode="###\ ###\ ###\ ##0.00"/>
    <numFmt numFmtId="188" formatCode="[$-FC19]d\ mmmm\ yyyy\ &quot;г.&quot;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textRotation="90" wrapText="1"/>
    </xf>
    <xf numFmtId="0" fontId="7" fillId="33" borderId="10" xfId="0" applyFont="1" applyFill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7" fillId="33" borderId="10" xfId="0" applyFont="1" applyFill="1" applyBorder="1" applyAlignment="1">
      <alignment horizontal="justify"/>
    </xf>
    <xf numFmtId="0" fontId="7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84" fontId="10" fillId="0" borderId="10" xfId="0" applyNumberFormat="1" applyFont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distributed" readingOrder="1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vertical="distributed" readingOrder="1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18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top"/>
    </xf>
    <xf numFmtId="2" fontId="7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18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distributed" wrapText="1" readingOrder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7" fillId="0" borderId="10" xfId="6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7" fillId="0" borderId="10" xfId="6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4" fontId="7" fillId="33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distributed" readingOrder="1"/>
    </xf>
    <xf numFmtId="0" fontId="7" fillId="0" borderId="10" xfId="0" applyFont="1" applyFill="1" applyBorder="1" applyAlignment="1">
      <alignment horizontal="left" vertical="distributed" wrapText="1" readingOrder="1"/>
    </xf>
    <xf numFmtId="0" fontId="2" fillId="0" borderId="10" xfId="0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justify" wrapText="1"/>
    </xf>
    <xf numFmtId="2" fontId="0" fillId="0" borderId="0" xfId="0" applyNumberFormat="1" applyAlignment="1">
      <alignment/>
    </xf>
    <xf numFmtId="0" fontId="7" fillId="0" borderId="11" xfId="0" applyFont="1" applyBorder="1" applyAlignment="1">
      <alignment horizontal="justify" wrapText="1"/>
    </xf>
    <xf numFmtId="0" fontId="7" fillId="0" borderId="10" xfId="0" applyFont="1" applyBorder="1" applyAlignment="1">
      <alignment horizontal="left" vertical="distributed" readingOrder="1"/>
    </xf>
    <xf numFmtId="0" fontId="2" fillId="0" borderId="10" xfId="0" applyFont="1" applyFill="1" applyBorder="1" applyAlignment="1">
      <alignment vertical="distributed" readingOrder="1"/>
    </xf>
    <xf numFmtId="0" fontId="2" fillId="33" borderId="10" xfId="0" applyFont="1" applyFill="1" applyBorder="1" applyAlignment="1">
      <alignment wrapText="1"/>
    </xf>
    <xf numFmtId="184" fontId="7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/>
    </xf>
    <xf numFmtId="0" fontId="7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vertical="distributed" wrapText="1" readingOrder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2" fontId="7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justify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/>
    </xf>
    <xf numFmtId="0" fontId="7" fillId="0" borderId="10" xfId="0" applyFont="1" applyBorder="1" applyAlignment="1">
      <alignment horizontal="center" textRotation="90" wrapText="1"/>
    </xf>
    <xf numFmtId="0" fontId="7" fillId="33" borderId="10" xfId="0" applyFont="1" applyFill="1" applyBorder="1" applyAlignment="1">
      <alignment horizontal="center" textRotation="90" wrapText="1"/>
    </xf>
    <xf numFmtId="0" fontId="7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justify"/>
    </xf>
    <xf numFmtId="0" fontId="7" fillId="33" borderId="10" xfId="0" applyFont="1" applyFill="1" applyBorder="1" applyAlignment="1">
      <alignment horizontal="justify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33" borderId="13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0"/>
  <sheetViews>
    <sheetView zoomScale="80" zoomScaleNormal="80" zoomScalePageLayoutView="0" workbookViewId="0" topLeftCell="A262">
      <selection activeCell="I1" sqref="I1"/>
    </sheetView>
  </sheetViews>
  <sheetFormatPr defaultColWidth="9.140625" defaultRowHeight="12.75"/>
  <cols>
    <col min="1" max="1" width="4.57421875" style="0" customWidth="1"/>
    <col min="2" max="2" width="26.57421875" style="0" customWidth="1"/>
    <col min="3" max="3" width="10.57421875" style="0" customWidth="1"/>
    <col min="4" max="4" width="12.421875" style="0" customWidth="1"/>
    <col min="5" max="5" width="11.140625" style="0" customWidth="1"/>
    <col min="6" max="6" width="12.140625" style="0" customWidth="1"/>
    <col min="9" max="9" width="9.57421875" style="0" bestFit="1" customWidth="1"/>
    <col min="10" max="10" width="7.8515625" style="0" customWidth="1"/>
    <col min="11" max="12" width="8.00390625" style="0" customWidth="1"/>
    <col min="13" max="13" width="9.7109375" style="0" bestFit="1" customWidth="1"/>
    <col min="14" max="15" width="9.57421875" style="0" bestFit="1" customWidth="1"/>
    <col min="16" max="16" width="14.7109375" style="0" customWidth="1"/>
    <col min="17" max="17" width="14.140625" style="0" customWidth="1"/>
    <col min="18" max="19" width="14.00390625" style="0" customWidth="1"/>
    <col min="20" max="20" width="11.140625" style="0" customWidth="1"/>
  </cols>
  <sheetData>
    <row r="1" spans="1:20" ht="2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76" t="s">
        <v>639</v>
      </c>
      <c r="O1" s="176"/>
      <c r="P1" s="176"/>
      <c r="Q1" s="176"/>
      <c r="R1" s="176"/>
      <c r="S1" s="176"/>
      <c r="T1" s="176"/>
    </row>
    <row r="2" spans="1:20" ht="18.75">
      <c r="A2" s="175" t="s">
        <v>528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20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5.75">
      <c r="A4" s="166" t="s">
        <v>529</v>
      </c>
      <c r="B4" s="166" t="s">
        <v>530</v>
      </c>
      <c r="C4" s="169" t="s">
        <v>531</v>
      </c>
      <c r="D4" s="170"/>
      <c r="E4" s="159" t="s">
        <v>532</v>
      </c>
      <c r="F4" s="159" t="s">
        <v>568</v>
      </c>
      <c r="G4" s="159" t="s">
        <v>533</v>
      </c>
      <c r="H4" s="159" t="s">
        <v>705</v>
      </c>
      <c r="I4" s="160" t="s">
        <v>534</v>
      </c>
      <c r="J4" s="163" t="s">
        <v>535</v>
      </c>
      <c r="K4" s="164"/>
      <c r="L4" s="165"/>
      <c r="M4" s="163" t="s">
        <v>536</v>
      </c>
      <c r="N4" s="164"/>
      <c r="O4" s="165"/>
      <c r="P4" s="163" t="s">
        <v>537</v>
      </c>
      <c r="Q4" s="164"/>
      <c r="R4" s="164"/>
      <c r="S4" s="165"/>
      <c r="T4" s="159" t="s">
        <v>538</v>
      </c>
    </row>
    <row r="5" spans="1:20" ht="15.75">
      <c r="A5" s="167"/>
      <c r="B5" s="167"/>
      <c r="C5" s="171"/>
      <c r="D5" s="172"/>
      <c r="E5" s="159"/>
      <c r="F5" s="159"/>
      <c r="G5" s="159"/>
      <c r="H5" s="159"/>
      <c r="I5" s="160"/>
      <c r="J5" s="160" t="s">
        <v>539</v>
      </c>
      <c r="K5" s="161" t="s">
        <v>540</v>
      </c>
      <c r="L5" s="161"/>
      <c r="M5" s="160" t="s">
        <v>539</v>
      </c>
      <c r="N5" s="161" t="s">
        <v>540</v>
      </c>
      <c r="O5" s="161"/>
      <c r="P5" s="159" t="s">
        <v>541</v>
      </c>
      <c r="Q5" s="162" t="s">
        <v>540</v>
      </c>
      <c r="R5" s="162"/>
      <c r="S5" s="162"/>
      <c r="T5" s="159"/>
    </row>
    <row r="6" spans="1:20" ht="177.75">
      <c r="A6" s="167"/>
      <c r="B6" s="167"/>
      <c r="C6" s="174" t="s">
        <v>542</v>
      </c>
      <c r="D6" s="174" t="s">
        <v>543</v>
      </c>
      <c r="E6" s="159"/>
      <c r="F6" s="159"/>
      <c r="G6" s="159"/>
      <c r="H6" s="159"/>
      <c r="I6" s="160"/>
      <c r="J6" s="160"/>
      <c r="K6" s="14" t="s">
        <v>544</v>
      </c>
      <c r="L6" s="13" t="s">
        <v>545</v>
      </c>
      <c r="M6" s="160"/>
      <c r="N6" s="14" t="s">
        <v>544</v>
      </c>
      <c r="O6" s="13" t="s">
        <v>545</v>
      </c>
      <c r="P6" s="159"/>
      <c r="Q6" s="13" t="s">
        <v>546</v>
      </c>
      <c r="R6" s="13" t="s">
        <v>547</v>
      </c>
      <c r="S6" s="13" t="s">
        <v>548</v>
      </c>
      <c r="T6" s="159"/>
    </row>
    <row r="7" spans="1:20" ht="15.75">
      <c r="A7" s="168"/>
      <c r="B7" s="168"/>
      <c r="C7" s="174"/>
      <c r="D7" s="174"/>
      <c r="E7" s="173"/>
      <c r="F7" s="173"/>
      <c r="G7" s="30" t="s">
        <v>549</v>
      </c>
      <c r="H7" s="30" t="s">
        <v>549</v>
      </c>
      <c r="I7" s="30" t="s">
        <v>550</v>
      </c>
      <c r="J7" s="30" t="s">
        <v>551</v>
      </c>
      <c r="K7" s="30" t="s">
        <v>551</v>
      </c>
      <c r="L7" s="30" t="s">
        <v>551</v>
      </c>
      <c r="M7" s="30" t="s">
        <v>550</v>
      </c>
      <c r="N7" s="30" t="s">
        <v>550</v>
      </c>
      <c r="O7" s="30" t="s">
        <v>550</v>
      </c>
      <c r="P7" s="30" t="s">
        <v>552</v>
      </c>
      <c r="Q7" s="30" t="s">
        <v>552</v>
      </c>
      <c r="R7" s="30" t="s">
        <v>552</v>
      </c>
      <c r="S7" s="30" t="s">
        <v>552</v>
      </c>
      <c r="T7" s="30" t="s">
        <v>552</v>
      </c>
    </row>
    <row r="8" spans="1:20" ht="15.75">
      <c r="A8" s="156" t="s">
        <v>569</v>
      </c>
      <c r="B8" s="156"/>
      <c r="C8" s="58"/>
      <c r="D8" s="58"/>
      <c r="E8" s="58"/>
      <c r="F8" s="58"/>
      <c r="G8" s="58">
        <f aca="true" t="shared" si="0" ref="G8:O8">G9+G201+G475</f>
        <v>5815</v>
      </c>
      <c r="H8" s="58">
        <f t="shared" si="0"/>
        <v>5815</v>
      </c>
      <c r="I8" s="59">
        <f t="shared" si="0"/>
        <v>88000</v>
      </c>
      <c r="J8" s="65">
        <f>J9+J201+J475</f>
        <v>2453</v>
      </c>
      <c r="K8" s="65">
        <f>K9+K201+K475</f>
        <v>1254</v>
      </c>
      <c r="L8" s="65">
        <f>L9+L201+L475</f>
        <v>1199</v>
      </c>
      <c r="M8" s="59">
        <f t="shared" si="0"/>
        <v>85201.03999999998</v>
      </c>
      <c r="N8" s="59">
        <f t="shared" si="0"/>
        <v>44362.36</v>
      </c>
      <c r="O8" s="59">
        <f t="shared" si="0"/>
        <v>40838.67999999999</v>
      </c>
      <c r="P8" s="65">
        <f>P9+P201+P475</f>
        <v>2909615516.5</v>
      </c>
      <c r="Q8" s="65">
        <f>Q9+Q201+Q475</f>
        <v>1389395799.5693064</v>
      </c>
      <c r="R8" s="65">
        <v>1104761800</v>
      </c>
      <c r="S8" s="65">
        <f>S9+S201+S475</f>
        <v>415457917.3853257</v>
      </c>
      <c r="T8" s="65">
        <f>T9+T201+T475</f>
        <v>11291698.5</v>
      </c>
    </row>
    <row r="9" spans="1:20" ht="15.75">
      <c r="A9" s="149" t="s">
        <v>570</v>
      </c>
      <c r="B9" s="149"/>
      <c r="C9" s="58"/>
      <c r="D9" s="58"/>
      <c r="E9" s="58"/>
      <c r="F9" s="58"/>
      <c r="G9" s="58">
        <f>G10+G34+G44+G53+G62+G86+G88+G99+G114+G124+G130+G140+G144+G149+G155+G160+G168+G181+G184+G195+G197</f>
        <v>2218</v>
      </c>
      <c r="H9" s="58">
        <f aca="true" t="shared" si="1" ref="H9:T9">H10+H34+H44+H53+H62+H86+H88+H99+H114+H124+H130+H140+H144+H149+H155+H160+H168+H181+H184+H195+H197</f>
        <v>2218</v>
      </c>
      <c r="I9" s="59">
        <f t="shared" si="1"/>
        <v>32465.589999999997</v>
      </c>
      <c r="J9" s="58">
        <f t="shared" si="1"/>
        <v>895</v>
      </c>
      <c r="K9" s="58">
        <f t="shared" si="1"/>
        <v>376</v>
      </c>
      <c r="L9" s="58">
        <f t="shared" si="1"/>
        <v>519</v>
      </c>
      <c r="M9" s="59">
        <f t="shared" si="1"/>
        <v>31221.019999999993</v>
      </c>
      <c r="N9" s="59">
        <f t="shared" si="1"/>
        <v>14393.22</v>
      </c>
      <c r="O9" s="59">
        <f t="shared" si="1"/>
        <v>16827.799999999996</v>
      </c>
      <c r="P9" s="65">
        <f>P10+P34+P44+P53+P62+P86+P88+P99+P114+P124+P130+P140+P144+P149+P155+P160+P168+P181+P184+P195+P197</f>
        <v>1066197833</v>
      </c>
      <c r="Q9" s="65">
        <v>531643700</v>
      </c>
      <c r="R9" s="65">
        <f t="shared" si="1"/>
        <v>416843699.5321996</v>
      </c>
      <c r="S9" s="65">
        <f>P9-Q9-R9</f>
        <v>117710433.46780038</v>
      </c>
      <c r="T9" s="65">
        <f t="shared" si="1"/>
        <v>7922459.5</v>
      </c>
    </row>
    <row r="10" spans="1:20" ht="15.75">
      <c r="A10" s="149" t="s">
        <v>614</v>
      </c>
      <c r="B10" s="149"/>
      <c r="C10" s="58"/>
      <c r="D10" s="58"/>
      <c r="E10" s="58"/>
      <c r="F10" s="58"/>
      <c r="G10" s="58">
        <f>SUM(G11:G33)</f>
        <v>273</v>
      </c>
      <c r="H10" s="58">
        <f>SUM(H11:H33)</f>
        <v>273</v>
      </c>
      <c r="I10" s="59">
        <f aca="true" t="shared" si="2" ref="I10:R10">SUM(I11:I33)</f>
        <v>3475.4900000000002</v>
      </c>
      <c r="J10" s="58">
        <f>SUM(J11:J33)</f>
        <v>119</v>
      </c>
      <c r="K10" s="58">
        <f t="shared" si="2"/>
        <v>28</v>
      </c>
      <c r="L10" s="58">
        <f t="shared" si="2"/>
        <v>91</v>
      </c>
      <c r="M10" s="59">
        <f t="shared" si="2"/>
        <v>3475.4900000000002</v>
      </c>
      <c r="N10" s="59">
        <f t="shared" si="2"/>
        <v>930.1800000000001</v>
      </c>
      <c r="O10" s="59">
        <f t="shared" si="2"/>
        <v>2545.31</v>
      </c>
      <c r="P10" s="65">
        <f>SUM(P11:P33)</f>
        <v>118687983.5</v>
      </c>
      <c r="Q10" s="65">
        <f t="shared" si="2"/>
        <v>60798799.743776344</v>
      </c>
      <c r="R10" s="65">
        <f t="shared" si="2"/>
        <v>53866099.773067616</v>
      </c>
      <c r="S10" s="65">
        <f>SUM(S11:S33)</f>
        <v>4023083.9831560394</v>
      </c>
      <c r="T10" s="65">
        <f>SUM(T11:T33)</f>
        <v>3375728</v>
      </c>
    </row>
    <row r="11" spans="1:20" ht="31.5">
      <c r="A11" s="128">
        <v>1</v>
      </c>
      <c r="B11" s="129" t="s">
        <v>591</v>
      </c>
      <c r="C11" s="58">
        <v>43</v>
      </c>
      <c r="D11" s="72">
        <v>38036</v>
      </c>
      <c r="E11" s="130" t="s">
        <v>186</v>
      </c>
      <c r="F11" s="130" t="s">
        <v>625</v>
      </c>
      <c r="G11" s="58">
        <v>11</v>
      </c>
      <c r="H11" s="58">
        <f>G11</f>
        <v>11</v>
      </c>
      <c r="I11" s="59">
        <v>140.29</v>
      </c>
      <c r="J11" s="58">
        <v>4</v>
      </c>
      <c r="K11" s="58">
        <v>0</v>
      </c>
      <c r="L11" s="58">
        <v>4</v>
      </c>
      <c r="M11" s="59">
        <v>140.29</v>
      </c>
      <c r="N11" s="59">
        <v>0</v>
      </c>
      <c r="O11" s="59">
        <v>140.29</v>
      </c>
      <c r="P11" s="65">
        <f>M11*34150</f>
        <v>4790903.5</v>
      </c>
      <c r="Q11" s="65">
        <f>P11*0.512257416049</f>
        <v>2454175.84745011</v>
      </c>
      <c r="R11" s="65">
        <f>P11*0.453846279839</f>
        <v>2174333.7305426444</v>
      </c>
      <c r="S11" s="65">
        <f aca="true" t="shared" si="3" ref="S11:S33">P11-Q11-R11</f>
        <v>162393.92200724548</v>
      </c>
      <c r="T11" s="65">
        <v>887900</v>
      </c>
    </row>
    <row r="12" spans="1:20" ht="31.5">
      <c r="A12" s="128">
        <f>A11+1</f>
        <v>2</v>
      </c>
      <c r="B12" s="129" t="s">
        <v>592</v>
      </c>
      <c r="C12" s="58">
        <v>18</v>
      </c>
      <c r="D12" s="72">
        <v>38035</v>
      </c>
      <c r="E12" s="130" t="s">
        <v>186</v>
      </c>
      <c r="F12" s="130" t="s">
        <v>625</v>
      </c>
      <c r="G12" s="58">
        <v>15</v>
      </c>
      <c r="H12" s="58">
        <f aca="true" t="shared" si="4" ref="H12:H33">G12</f>
        <v>15</v>
      </c>
      <c r="I12" s="59">
        <v>203.71</v>
      </c>
      <c r="J12" s="58">
        <v>9</v>
      </c>
      <c r="K12" s="58">
        <v>1</v>
      </c>
      <c r="L12" s="58">
        <v>8</v>
      </c>
      <c r="M12" s="59">
        <v>203.71</v>
      </c>
      <c r="N12" s="59">
        <v>34.5</v>
      </c>
      <c r="O12" s="59">
        <v>169.21</v>
      </c>
      <c r="P12" s="65">
        <f aca="true" t="shared" si="5" ref="P12:P33">M12*34150</f>
        <v>6956696.5</v>
      </c>
      <c r="Q12" s="65">
        <f aca="true" t="shared" si="6" ref="Q12:Q33">P12*0.512257416049</f>
        <v>3563619.373327122</v>
      </c>
      <c r="R12" s="65">
        <f aca="true" t="shared" si="7" ref="R12:R33">P12*0.453846279839</f>
        <v>3157270.826493992</v>
      </c>
      <c r="S12" s="65">
        <f t="shared" si="3"/>
        <v>235806.30017888593</v>
      </c>
      <c r="T12" s="65">
        <v>0</v>
      </c>
    </row>
    <row r="13" spans="1:20" ht="31.5">
      <c r="A13" s="128">
        <f aca="true" t="shared" si="8" ref="A13:A33">A12+1</f>
        <v>3</v>
      </c>
      <c r="B13" s="57" t="s">
        <v>593</v>
      </c>
      <c r="C13" s="58">
        <v>54</v>
      </c>
      <c r="D13" s="72">
        <v>38041</v>
      </c>
      <c r="E13" s="130" t="s">
        <v>186</v>
      </c>
      <c r="F13" s="130" t="s">
        <v>625</v>
      </c>
      <c r="G13" s="58">
        <v>11</v>
      </c>
      <c r="H13" s="58">
        <f t="shared" si="4"/>
        <v>11</v>
      </c>
      <c r="I13" s="59">
        <v>133.11</v>
      </c>
      <c r="J13" s="58">
        <v>4</v>
      </c>
      <c r="K13" s="58">
        <v>2</v>
      </c>
      <c r="L13" s="58">
        <v>2</v>
      </c>
      <c r="M13" s="59">
        <v>133.11</v>
      </c>
      <c r="N13" s="59">
        <v>67.7</v>
      </c>
      <c r="O13" s="59">
        <v>65.41</v>
      </c>
      <c r="P13" s="65">
        <f t="shared" si="5"/>
        <v>4545706.5</v>
      </c>
      <c r="Q13" s="65">
        <f t="shared" si="6"/>
        <v>2328571.8658071435</v>
      </c>
      <c r="R13" s="65">
        <f t="shared" si="7"/>
        <v>2063051.9842649612</v>
      </c>
      <c r="S13" s="65">
        <f t="shared" si="3"/>
        <v>154082.64992789528</v>
      </c>
      <c r="T13" s="65">
        <v>0</v>
      </c>
    </row>
    <row r="14" spans="1:20" ht="31.5">
      <c r="A14" s="128">
        <f t="shared" si="8"/>
        <v>4</v>
      </c>
      <c r="B14" s="57" t="s">
        <v>594</v>
      </c>
      <c r="C14" s="58">
        <v>39</v>
      </c>
      <c r="D14" s="72">
        <v>38036</v>
      </c>
      <c r="E14" s="130" t="s">
        <v>186</v>
      </c>
      <c r="F14" s="130" t="s">
        <v>625</v>
      </c>
      <c r="G14" s="58">
        <v>22</v>
      </c>
      <c r="H14" s="58">
        <f t="shared" si="4"/>
        <v>22</v>
      </c>
      <c r="I14" s="59">
        <v>241.02</v>
      </c>
      <c r="J14" s="58">
        <v>13</v>
      </c>
      <c r="K14" s="58">
        <v>2</v>
      </c>
      <c r="L14" s="58">
        <v>11</v>
      </c>
      <c r="M14" s="59">
        <v>241.02</v>
      </c>
      <c r="N14" s="59">
        <v>0</v>
      </c>
      <c r="O14" s="59">
        <v>241.02</v>
      </c>
      <c r="P14" s="65">
        <f t="shared" si="5"/>
        <v>8230833</v>
      </c>
      <c r="Q14" s="65">
        <f t="shared" si="6"/>
        <v>4216305.244510839</v>
      </c>
      <c r="R14" s="65">
        <f t="shared" si="7"/>
        <v>3735532.937026076</v>
      </c>
      <c r="S14" s="65">
        <f t="shared" si="3"/>
        <v>278994.8184630852</v>
      </c>
      <c r="T14" s="65">
        <v>0</v>
      </c>
    </row>
    <row r="15" spans="1:20" ht="47.25">
      <c r="A15" s="128">
        <f t="shared" si="8"/>
        <v>5</v>
      </c>
      <c r="B15" s="57" t="s">
        <v>595</v>
      </c>
      <c r="C15" s="58">
        <v>72</v>
      </c>
      <c r="D15" s="72">
        <v>38043</v>
      </c>
      <c r="E15" s="130" t="s">
        <v>186</v>
      </c>
      <c r="F15" s="130" t="s">
        <v>625</v>
      </c>
      <c r="G15" s="58">
        <v>8</v>
      </c>
      <c r="H15" s="58">
        <f t="shared" si="4"/>
        <v>8</v>
      </c>
      <c r="I15" s="59">
        <v>184.1</v>
      </c>
      <c r="J15" s="58">
        <v>6</v>
      </c>
      <c r="K15" s="58">
        <v>1</v>
      </c>
      <c r="L15" s="58">
        <v>5</v>
      </c>
      <c r="M15" s="59">
        <v>184.1</v>
      </c>
      <c r="N15" s="59">
        <v>24</v>
      </c>
      <c r="O15" s="59">
        <v>160.1</v>
      </c>
      <c r="P15" s="65">
        <f t="shared" si="5"/>
        <v>6287015</v>
      </c>
      <c r="Q15" s="65">
        <f t="shared" si="6"/>
        <v>3220570.0585613037</v>
      </c>
      <c r="R15" s="65">
        <f t="shared" si="7"/>
        <v>2853338.3690419905</v>
      </c>
      <c r="S15" s="65">
        <f t="shared" si="3"/>
        <v>213106.57239670586</v>
      </c>
      <c r="T15" s="65">
        <v>0</v>
      </c>
    </row>
    <row r="16" spans="1:20" ht="31.5">
      <c r="A16" s="128">
        <f t="shared" si="8"/>
        <v>6</v>
      </c>
      <c r="B16" s="57" t="s">
        <v>596</v>
      </c>
      <c r="C16" s="58">
        <v>33</v>
      </c>
      <c r="D16" s="72">
        <v>38035</v>
      </c>
      <c r="E16" s="130" t="s">
        <v>186</v>
      </c>
      <c r="F16" s="130" t="s">
        <v>625</v>
      </c>
      <c r="G16" s="58">
        <v>10</v>
      </c>
      <c r="H16" s="58">
        <f t="shared" si="4"/>
        <v>10</v>
      </c>
      <c r="I16" s="59">
        <v>119.44</v>
      </c>
      <c r="J16" s="58">
        <v>3</v>
      </c>
      <c r="K16" s="58">
        <v>0</v>
      </c>
      <c r="L16" s="58">
        <v>3</v>
      </c>
      <c r="M16" s="59">
        <v>119.44</v>
      </c>
      <c r="N16" s="59">
        <v>0</v>
      </c>
      <c r="O16" s="59">
        <v>119.44</v>
      </c>
      <c r="P16" s="65">
        <f t="shared" si="5"/>
        <v>4078876</v>
      </c>
      <c r="Q16" s="65">
        <f t="shared" si="6"/>
        <v>2089434.480144281</v>
      </c>
      <c r="R16" s="65">
        <f t="shared" si="7"/>
        <v>1851182.698524581</v>
      </c>
      <c r="S16" s="65">
        <f t="shared" si="3"/>
        <v>138258.82133113802</v>
      </c>
      <c r="T16" s="65">
        <v>0</v>
      </c>
    </row>
    <row r="17" spans="1:20" ht="31.5">
      <c r="A17" s="128">
        <f t="shared" si="8"/>
        <v>7</v>
      </c>
      <c r="B17" s="57" t="s">
        <v>597</v>
      </c>
      <c r="C17" s="58">
        <v>70</v>
      </c>
      <c r="D17" s="72">
        <v>38041</v>
      </c>
      <c r="E17" s="130" t="s">
        <v>186</v>
      </c>
      <c r="F17" s="130" t="s">
        <v>625</v>
      </c>
      <c r="G17" s="58">
        <v>7</v>
      </c>
      <c r="H17" s="58">
        <f t="shared" si="4"/>
        <v>7</v>
      </c>
      <c r="I17" s="59">
        <v>140.1</v>
      </c>
      <c r="J17" s="58">
        <v>4</v>
      </c>
      <c r="K17" s="58">
        <v>4</v>
      </c>
      <c r="L17" s="58">
        <v>0</v>
      </c>
      <c r="M17" s="59">
        <v>140.1</v>
      </c>
      <c r="N17" s="59">
        <v>140.1</v>
      </c>
      <c r="O17" s="59">
        <v>0</v>
      </c>
      <c r="P17" s="65">
        <f t="shared" si="5"/>
        <v>4784415</v>
      </c>
      <c r="Q17" s="65">
        <f t="shared" si="6"/>
        <v>2450852.0652060765</v>
      </c>
      <c r="R17" s="65">
        <f t="shared" si="7"/>
        <v>2171388.9489559093</v>
      </c>
      <c r="S17" s="65">
        <f t="shared" si="3"/>
        <v>162173.98583801417</v>
      </c>
      <c r="T17" s="65">
        <v>0</v>
      </c>
    </row>
    <row r="18" spans="1:20" ht="31.5">
      <c r="A18" s="128">
        <f t="shared" si="8"/>
        <v>8</v>
      </c>
      <c r="B18" s="57" t="s">
        <v>598</v>
      </c>
      <c r="C18" s="58">
        <v>71</v>
      </c>
      <c r="D18" s="72">
        <v>38041</v>
      </c>
      <c r="E18" s="130" t="s">
        <v>186</v>
      </c>
      <c r="F18" s="130" t="s">
        <v>625</v>
      </c>
      <c r="G18" s="58">
        <v>8</v>
      </c>
      <c r="H18" s="58">
        <f t="shared" si="4"/>
        <v>8</v>
      </c>
      <c r="I18" s="59">
        <v>111.3</v>
      </c>
      <c r="J18" s="58">
        <v>3</v>
      </c>
      <c r="K18" s="58">
        <v>3</v>
      </c>
      <c r="L18" s="58">
        <v>0</v>
      </c>
      <c r="M18" s="59">
        <v>111.3</v>
      </c>
      <c r="N18" s="59">
        <v>111.3</v>
      </c>
      <c r="O18" s="59">
        <v>0</v>
      </c>
      <c r="P18" s="65">
        <f t="shared" si="5"/>
        <v>3800895</v>
      </c>
      <c r="Q18" s="65">
        <f t="shared" si="6"/>
        <v>1947036.6513735638</v>
      </c>
      <c r="R18" s="65">
        <f t="shared" si="7"/>
        <v>1725022.055808656</v>
      </c>
      <c r="S18" s="65">
        <f t="shared" si="3"/>
        <v>128836.29281778028</v>
      </c>
      <c r="T18" s="65">
        <v>0</v>
      </c>
    </row>
    <row r="19" spans="1:20" ht="31.5">
      <c r="A19" s="128">
        <f t="shared" si="8"/>
        <v>9</v>
      </c>
      <c r="B19" s="57" t="s">
        <v>599</v>
      </c>
      <c r="C19" s="58">
        <v>55</v>
      </c>
      <c r="D19" s="72">
        <v>38041</v>
      </c>
      <c r="E19" s="130" t="s">
        <v>186</v>
      </c>
      <c r="F19" s="130" t="s">
        <v>625</v>
      </c>
      <c r="G19" s="58">
        <v>19</v>
      </c>
      <c r="H19" s="58">
        <f t="shared" si="4"/>
        <v>19</v>
      </c>
      <c r="I19" s="59">
        <v>216.1</v>
      </c>
      <c r="J19" s="58">
        <v>8</v>
      </c>
      <c r="K19" s="58">
        <v>3</v>
      </c>
      <c r="L19" s="58">
        <v>5</v>
      </c>
      <c r="M19" s="59">
        <v>216.1</v>
      </c>
      <c r="N19" s="59">
        <v>65.5</v>
      </c>
      <c r="O19" s="59">
        <v>150.6</v>
      </c>
      <c r="P19" s="65">
        <f t="shared" si="5"/>
        <v>7379815</v>
      </c>
      <c r="Q19" s="65">
        <f t="shared" si="6"/>
        <v>3780364.962819651</v>
      </c>
      <c r="R19" s="65">
        <f t="shared" si="7"/>
        <v>3349301.5836500498</v>
      </c>
      <c r="S19" s="65">
        <f t="shared" si="3"/>
        <v>250148.45353029948</v>
      </c>
      <c r="T19" s="65">
        <v>0</v>
      </c>
    </row>
    <row r="20" spans="1:20" ht="31.5">
      <c r="A20" s="128">
        <f t="shared" si="8"/>
        <v>10</v>
      </c>
      <c r="B20" s="57" t="s">
        <v>600</v>
      </c>
      <c r="C20" s="58">
        <v>56</v>
      </c>
      <c r="D20" s="72">
        <v>38041</v>
      </c>
      <c r="E20" s="130" t="s">
        <v>186</v>
      </c>
      <c r="F20" s="130" t="s">
        <v>625</v>
      </c>
      <c r="G20" s="58">
        <v>11</v>
      </c>
      <c r="H20" s="58">
        <f t="shared" si="4"/>
        <v>11</v>
      </c>
      <c r="I20" s="59">
        <v>177.77</v>
      </c>
      <c r="J20" s="58">
        <v>7</v>
      </c>
      <c r="K20" s="58">
        <v>0</v>
      </c>
      <c r="L20" s="58">
        <v>7</v>
      </c>
      <c r="M20" s="59">
        <v>177.77</v>
      </c>
      <c r="N20" s="59">
        <v>0</v>
      </c>
      <c r="O20" s="59">
        <v>177.77</v>
      </c>
      <c r="P20" s="65">
        <f t="shared" si="5"/>
        <v>6070845.5</v>
      </c>
      <c r="Q20" s="65">
        <f t="shared" si="6"/>
        <v>3109835.629062699</v>
      </c>
      <c r="R20" s="65">
        <f t="shared" si="7"/>
        <v>2755230.6456523337</v>
      </c>
      <c r="S20" s="65">
        <f t="shared" si="3"/>
        <v>205779.2252849671</v>
      </c>
      <c r="T20" s="65">
        <v>0</v>
      </c>
    </row>
    <row r="21" spans="1:20" ht="47.25">
      <c r="A21" s="128">
        <f t="shared" si="8"/>
        <v>11</v>
      </c>
      <c r="B21" s="57" t="s">
        <v>601</v>
      </c>
      <c r="C21" s="58">
        <v>62</v>
      </c>
      <c r="D21" s="72">
        <v>38043</v>
      </c>
      <c r="E21" s="130" t="s">
        <v>186</v>
      </c>
      <c r="F21" s="130" t="s">
        <v>625</v>
      </c>
      <c r="G21" s="58">
        <v>9</v>
      </c>
      <c r="H21" s="58">
        <f t="shared" si="4"/>
        <v>9</v>
      </c>
      <c r="I21" s="59">
        <v>97.6</v>
      </c>
      <c r="J21" s="58">
        <v>3</v>
      </c>
      <c r="K21" s="58">
        <v>3</v>
      </c>
      <c r="L21" s="58">
        <v>0</v>
      </c>
      <c r="M21" s="59">
        <v>97.6</v>
      </c>
      <c r="N21" s="59">
        <v>97.6</v>
      </c>
      <c r="O21" s="59">
        <v>0</v>
      </c>
      <c r="P21" s="65">
        <f t="shared" si="5"/>
        <v>3333040</v>
      </c>
      <c r="Q21" s="65">
        <f t="shared" si="6"/>
        <v>1707374.457987959</v>
      </c>
      <c r="R21" s="65">
        <f t="shared" si="7"/>
        <v>1512687.8045545805</v>
      </c>
      <c r="S21" s="65">
        <f t="shared" si="3"/>
        <v>112977.73745746049</v>
      </c>
      <c r="T21" s="65">
        <v>0</v>
      </c>
    </row>
    <row r="22" spans="1:20" ht="31.5">
      <c r="A22" s="128">
        <f t="shared" si="8"/>
        <v>12</v>
      </c>
      <c r="B22" s="57" t="s">
        <v>602</v>
      </c>
      <c r="C22" s="58">
        <v>30</v>
      </c>
      <c r="D22" s="72">
        <v>38035</v>
      </c>
      <c r="E22" s="130" t="s">
        <v>186</v>
      </c>
      <c r="F22" s="130" t="s">
        <v>625</v>
      </c>
      <c r="G22" s="58">
        <v>8</v>
      </c>
      <c r="H22" s="58">
        <f t="shared" si="4"/>
        <v>8</v>
      </c>
      <c r="I22" s="59">
        <v>61.7</v>
      </c>
      <c r="J22" s="58">
        <v>3</v>
      </c>
      <c r="K22" s="58">
        <v>1</v>
      </c>
      <c r="L22" s="58">
        <v>2</v>
      </c>
      <c r="M22" s="59">
        <v>61.7</v>
      </c>
      <c r="N22" s="59">
        <v>25.7</v>
      </c>
      <c r="O22" s="59">
        <v>36</v>
      </c>
      <c r="P22" s="65">
        <f t="shared" si="5"/>
        <v>2107055</v>
      </c>
      <c r="Q22" s="65">
        <f t="shared" si="6"/>
        <v>1079354.5497731257</v>
      </c>
      <c r="R22" s="65">
        <f t="shared" si="7"/>
        <v>956279.0731661641</v>
      </c>
      <c r="S22" s="65">
        <f t="shared" si="3"/>
        <v>71421.37706071022</v>
      </c>
      <c r="T22" s="65">
        <v>0</v>
      </c>
    </row>
    <row r="23" spans="1:20" ht="31.5">
      <c r="A23" s="128">
        <f t="shared" si="8"/>
        <v>13</v>
      </c>
      <c r="B23" s="57" t="s">
        <v>603</v>
      </c>
      <c r="C23" s="58">
        <v>11</v>
      </c>
      <c r="D23" s="72">
        <v>38033</v>
      </c>
      <c r="E23" s="130" t="s">
        <v>186</v>
      </c>
      <c r="F23" s="130" t="s">
        <v>625</v>
      </c>
      <c r="G23" s="58">
        <v>24</v>
      </c>
      <c r="H23" s="58">
        <f t="shared" si="4"/>
        <v>24</v>
      </c>
      <c r="I23" s="59">
        <v>255.16</v>
      </c>
      <c r="J23" s="58">
        <v>12</v>
      </c>
      <c r="K23" s="58">
        <v>0</v>
      </c>
      <c r="L23" s="58">
        <v>12</v>
      </c>
      <c r="M23" s="59">
        <v>255.16</v>
      </c>
      <c r="N23" s="59">
        <v>0</v>
      </c>
      <c r="O23" s="59">
        <v>255.16</v>
      </c>
      <c r="P23" s="65">
        <f t="shared" si="5"/>
        <v>8713714</v>
      </c>
      <c r="Q23" s="65">
        <f t="shared" si="6"/>
        <v>4463664.617829996</v>
      </c>
      <c r="R23" s="65">
        <f t="shared" si="7"/>
        <v>3954686.682481012</v>
      </c>
      <c r="S23" s="65">
        <f t="shared" si="3"/>
        <v>295362.699688992</v>
      </c>
      <c r="T23" s="65">
        <v>2482705</v>
      </c>
    </row>
    <row r="24" spans="1:20" ht="31.5">
      <c r="A24" s="128">
        <f t="shared" si="8"/>
        <v>14</v>
      </c>
      <c r="B24" s="57" t="s">
        <v>604</v>
      </c>
      <c r="C24" s="58">
        <v>10</v>
      </c>
      <c r="D24" s="72">
        <v>38033</v>
      </c>
      <c r="E24" s="130" t="s">
        <v>186</v>
      </c>
      <c r="F24" s="130" t="s">
        <v>625</v>
      </c>
      <c r="G24" s="58">
        <v>24</v>
      </c>
      <c r="H24" s="58">
        <f t="shared" si="4"/>
        <v>24</v>
      </c>
      <c r="I24" s="59">
        <v>301.47</v>
      </c>
      <c r="J24" s="58">
        <v>8</v>
      </c>
      <c r="K24" s="58">
        <v>0</v>
      </c>
      <c r="L24" s="58">
        <v>8</v>
      </c>
      <c r="M24" s="59">
        <v>301.47</v>
      </c>
      <c r="N24" s="59">
        <v>0</v>
      </c>
      <c r="O24" s="59">
        <v>301.47</v>
      </c>
      <c r="P24" s="65">
        <f t="shared" si="5"/>
        <v>10295200.5</v>
      </c>
      <c r="Q24" s="65">
        <f t="shared" si="6"/>
        <v>5273792.805836373</v>
      </c>
      <c r="R24" s="65">
        <f t="shared" si="7"/>
        <v>4672438.447121613</v>
      </c>
      <c r="S24" s="65">
        <f t="shared" si="3"/>
        <v>348969.24704201426</v>
      </c>
      <c r="T24" s="65">
        <v>0</v>
      </c>
    </row>
    <row r="25" spans="1:20" ht="31.5">
      <c r="A25" s="128">
        <f t="shared" si="8"/>
        <v>15</v>
      </c>
      <c r="B25" s="57" t="s">
        <v>605</v>
      </c>
      <c r="C25" s="71">
        <v>5</v>
      </c>
      <c r="D25" s="72">
        <v>38033</v>
      </c>
      <c r="E25" s="130" t="s">
        <v>186</v>
      </c>
      <c r="F25" s="130" t="s">
        <v>625</v>
      </c>
      <c r="G25" s="58">
        <v>7</v>
      </c>
      <c r="H25" s="58">
        <f t="shared" si="4"/>
        <v>7</v>
      </c>
      <c r="I25" s="59">
        <v>103.48</v>
      </c>
      <c r="J25" s="58">
        <v>2</v>
      </c>
      <c r="K25" s="58">
        <v>1</v>
      </c>
      <c r="L25" s="58">
        <v>1</v>
      </c>
      <c r="M25" s="59">
        <v>103.48</v>
      </c>
      <c r="N25" s="59">
        <v>54.58</v>
      </c>
      <c r="O25" s="59">
        <v>48.9</v>
      </c>
      <c r="P25" s="65">
        <f t="shared" si="5"/>
        <v>3533842</v>
      </c>
      <c r="Q25" s="65">
        <f t="shared" si="6"/>
        <v>1810236.7716454302</v>
      </c>
      <c r="R25" s="65">
        <f t="shared" si="7"/>
        <v>1603821.0452388115</v>
      </c>
      <c r="S25" s="65">
        <f t="shared" si="3"/>
        <v>119784.18311575823</v>
      </c>
      <c r="T25" s="65">
        <v>0</v>
      </c>
    </row>
    <row r="26" spans="1:20" ht="31.5">
      <c r="A26" s="128">
        <f t="shared" si="8"/>
        <v>16</v>
      </c>
      <c r="B26" s="57" t="s">
        <v>606</v>
      </c>
      <c r="C26" s="71">
        <v>6</v>
      </c>
      <c r="D26" s="72">
        <v>38033</v>
      </c>
      <c r="E26" s="130" t="s">
        <v>186</v>
      </c>
      <c r="F26" s="130" t="s">
        <v>625</v>
      </c>
      <c r="G26" s="58">
        <v>6</v>
      </c>
      <c r="H26" s="58">
        <f t="shared" si="4"/>
        <v>6</v>
      </c>
      <c r="I26" s="59">
        <v>111.55</v>
      </c>
      <c r="J26" s="58">
        <v>2</v>
      </c>
      <c r="K26" s="58">
        <v>2</v>
      </c>
      <c r="L26" s="58">
        <v>0</v>
      </c>
      <c r="M26" s="59">
        <v>111.55</v>
      </c>
      <c r="N26" s="59">
        <v>111.55</v>
      </c>
      <c r="O26" s="59">
        <v>0</v>
      </c>
      <c r="P26" s="65">
        <f t="shared" si="5"/>
        <v>3809432.5</v>
      </c>
      <c r="Q26" s="65">
        <f t="shared" si="6"/>
        <v>1951410.049063082</v>
      </c>
      <c r="R26" s="65">
        <f t="shared" si="7"/>
        <v>1728896.7684227813</v>
      </c>
      <c r="S26" s="65">
        <f t="shared" si="3"/>
        <v>129125.68251413666</v>
      </c>
      <c r="T26" s="65">
        <v>0</v>
      </c>
    </row>
    <row r="27" spans="1:20" ht="31.5">
      <c r="A27" s="128">
        <f t="shared" si="8"/>
        <v>17</v>
      </c>
      <c r="B27" s="57" t="s">
        <v>607</v>
      </c>
      <c r="C27" s="71">
        <v>18</v>
      </c>
      <c r="D27" s="72">
        <v>38033</v>
      </c>
      <c r="E27" s="130" t="s">
        <v>186</v>
      </c>
      <c r="F27" s="130" t="s">
        <v>625</v>
      </c>
      <c r="G27" s="58">
        <v>4</v>
      </c>
      <c r="H27" s="58">
        <f t="shared" si="4"/>
        <v>4</v>
      </c>
      <c r="I27" s="59">
        <v>72.3</v>
      </c>
      <c r="J27" s="58">
        <v>2</v>
      </c>
      <c r="K27" s="58">
        <v>0</v>
      </c>
      <c r="L27" s="58">
        <v>2</v>
      </c>
      <c r="M27" s="59">
        <v>72.3</v>
      </c>
      <c r="N27" s="59">
        <v>0</v>
      </c>
      <c r="O27" s="59">
        <v>72.3</v>
      </c>
      <c r="P27" s="65">
        <f t="shared" si="5"/>
        <v>2469045</v>
      </c>
      <c r="Q27" s="65">
        <f t="shared" si="6"/>
        <v>1264786.6118087033</v>
      </c>
      <c r="R27" s="65">
        <f t="shared" si="7"/>
        <v>1120566.8880050837</v>
      </c>
      <c r="S27" s="65">
        <f t="shared" si="3"/>
        <v>83691.50018621306</v>
      </c>
      <c r="T27" s="65">
        <v>0</v>
      </c>
    </row>
    <row r="28" spans="1:20" ht="31.5">
      <c r="A28" s="128">
        <f t="shared" si="8"/>
        <v>18</v>
      </c>
      <c r="B28" s="57" t="s">
        <v>608</v>
      </c>
      <c r="C28" s="71">
        <v>25</v>
      </c>
      <c r="D28" s="72">
        <v>38035</v>
      </c>
      <c r="E28" s="130" t="s">
        <v>186</v>
      </c>
      <c r="F28" s="130" t="s">
        <v>625</v>
      </c>
      <c r="G28" s="58">
        <v>7</v>
      </c>
      <c r="H28" s="58">
        <f t="shared" si="4"/>
        <v>7</v>
      </c>
      <c r="I28" s="59">
        <v>98.7</v>
      </c>
      <c r="J28" s="58">
        <v>3</v>
      </c>
      <c r="K28" s="58">
        <v>0</v>
      </c>
      <c r="L28" s="58">
        <v>3</v>
      </c>
      <c r="M28" s="59">
        <v>98.7</v>
      </c>
      <c r="N28" s="59">
        <v>0</v>
      </c>
      <c r="O28" s="59">
        <v>98.7</v>
      </c>
      <c r="P28" s="65">
        <f t="shared" si="5"/>
        <v>3370605</v>
      </c>
      <c r="Q28" s="65">
        <f t="shared" si="6"/>
        <v>1726617.4078218397</v>
      </c>
      <c r="R28" s="65">
        <f t="shared" si="7"/>
        <v>1529736.5400567325</v>
      </c>
      <c r="S28" s="65">
        <f t="shared" si="3"/>
        <v>114251.05212142784</v>
      </c>
      <c r="T28" s="65"/>
    </row>
    <row r="29" spans="1:20" ht="31.5">
      <c r="A29" s="128">
        <f t="shared" si="8"/>
        <v>19</v>
      </c>
      <c r="B29" s="57" t="s">
        <v>609</v>
      </c>
      <c r="C29" s="71">
        <v>31</v>
      </c>
      <c r="D29" s="72">
        <v>38035</v>
      </c>
      <c r="E29" s="130" t="s">
        <v>186</v>
      </c>
      <c r="F29" s="130" t="s">
        <v>625</v>
      </c>
      <c r="G29" s="58">
        <v>12</v>
      </c>
      <c r="H29" s="58">
        <f t="shared" si="4"/>
        <v>12</v>
      </c>
      <c r="I29" s="59">
        <v>101.8</v>
      </c>
      <c r="J29" s="58">
        <v>8</v>
      </c>
      <c r="K29" s="58">
        <v>0</v>
      </c>
      <c r="L29" s="58">
        <v>8</v>
      </c>
      <c r="M29" s="59">
        <v>101.8</v>
      </c>
      <c r="N29" s="59">
        <v>0</v>
      </c>
      <c r="O29" s="59">
        <v>101.8</v>
      </c>
      <c r="P29" s="65">
        <f t="shared" si="5"/>
        <v>3476470</v>
      </c>
      <c r="Q29" s="65">
        <f t="shared" si="6"/>
        <v>1780847.539171867</v>
      </c>
      <c r="R29" s="65">
        <f t="shared" si="7"/>
        <v>1577782.9764718884</v>
      </c>
      <c r="S29" s="65">
        <f t="shared" si="3"/>
        <v>117839.48435624456</v>
      </c>
      <c r="T29" s="65">
        <v>0</v>
      </c>
    </row>
    <row r="30" spans="1:20" ht="31.5">
      <c r="A30" s="128">
        <f t="shared" si="8"/>
        <v>20</v>
      </c>
      <c r="B30" s="57" t="s">
        <v>610</v>
      </c>
      <c r="C30" s="71">
        <v>41</v>
      </c>
      <c r="D30" s="72">
        <v>38036</v>
      </c>
      <c r="E30" s="130" t="s">
        <v>186</v>
      </c>
      <c r="F30" s="130" t="s">
        <v>625</v>
      </c>
      <c r="G30" s="58">
        <v>17</v>
      </c>
      <c r="H30" s="58">
        <f t="shared" si="4"/>
        <v>17</v>
      </c>
      <c r="I30" s="59">
        <v>169.98</v>
      </c>
      <c r="J30" s="58">
        <v>4</v>
      </c>
      <c r="K30" s="58">
        <v>0</v>
      </c>
      <c r="L30" s="58">
        <v>4</v>
      </c>
      <c r="M30" s="59">
        <v>169.98</v>
      </c>
      <c r="N30" s="59">
        <v>0</v>
      </c>
      <c r="O30" s="59">
        <v>169.98</v>
      </c>
      <c r="P30" s="65">
        <f t="shared" si="5"/>
        <v>5804817</v>
      </c>
      <c r="Q30" s="65">
        <f t="shared" si="6"/>
        <v>2973560.557057308</v>
      </c>
      <c r="R30" s="65">
        <f t="shared" si="7"/>
        <v>2634494.6005961844</v>
      </c>
      <c r="S30" s="65">
        <f t="shared" si="3"/>
        <v>196761.8423465076</v>
      </c>
      <c r="T30" s="65">
        <v>0</v>
      </c>
    </row>
    <row r="31" spans="1:20" ht="31.5">
      <c r="A31" s="128">
        <f t="shared" si="8"/>
        <v>21</v>
      </c>
      <c r="B31" s="57" t="s">
        <v>611</v>
      </c>
      <c r="C31" s="58">
        <v>58</v>
      </c>
      <c r="D31" s="72">
        <v>38041</v>
      </c>
      <c r="E31" s="130" t="s">
        <v>186</v>
      </c>
      <c r="F31" s="130" t="s">
        <v>625</v>
      </c>
      <c r="G31" s="58">
        <v>13</v>
      </c>
      <c r="H31" s="58">
        <f t="shared" si="4"/>
        <v>13</v>
      </c>
      <c r="I31" s="59">
        <v>164.2</v>
      </c>
      <c r="J31" s="58">
        <v>4</v>
      </c>
      <c r="K31" s="58">
        <v>2</v>
      </c>
      <c r="L31" s="58">
        <v>2</v>
      </c>
      <c r="M31" s="59">
        <v>164.2</v>
      </c>
      <c r="N31" s="59">
        <v>83.6</v>
      </c>
      <c r="O31" s="59">
        <v>80.6</v>
      </c>
      <c r="P31" s="65">
        <f t="shared" si="5"/>
        <v>5607430</v>
      </c>
      <c r="Q31" s="65">
        <f t="shared" si="6"/>
        <v>2872447.602475644</v>
      </c>
      <c r="R31" s="65">
        <f t="shared" si="7"/>
        <v>2544911.244957604</v>
      </c>
      <c r="S31" s="65">
        <f t="shared" si="3"/>
        <v>190071.15256675193</v>
      </c>
      <c r="T31" s="65">
        <v>0</v>
      </c>
    </row>
    <row r="32" spans="1:20" ht="31.5">
      <c r="A32" s="128">
        <f t="shared" si="8"/>
        <v>22</v>
      </c>
      <c r="B32" s="57" t="s">
        <v>612</v>
      </c>
      <c r="C32" s="71">
        <v>26</v>
      </c>
      <c r="D32" s="72">
        <v>38035</v>
      </c>
      <c r="E32" s="130" t="s">
        <v>186</v>
      </c>
      <c r="F32" s="130" t="s">
        <v>625</v>
      </c>
      <c r="G32" s="58">
        <v>9</v>
      </c>
      <c r="H32" s="58">
        <f t="shared" si="4"/>
        <v>9</v>
      </c>
      <c r="I32" s="59">
        <v>162.5</v>
      </c>
      <c r="J32" s="58">
        <v>4</v>
      </c>
      <c r="K32" s="58">
        <v>2</v>
      </c>
      <c r="L32" s="58">
        <v>2</v>
      </c>
      <c r="M32" s="59">
        <v>162.5</v>
      </c>
      <c r="N32" s="59">
        <v>80.55</v>
      </c>
      <c r="O32" s="59">
        <v>81.95</v>
      </c>
      <c r="P32" s="65">
        <f t="shared" si="5"/>
        <v>5549375</v>
      </c>
      <c r="Q32" s="65">
        <f t="shared" si="6"/>
        <v>2842708.4981869194</v>
      </c>
      <c r="R32" s="65">
        <f t="shared" si="7"/>
        <v>2518563.1991815506</v>
      </c>
      <c r="S32" s="65">
        <f t="shared" si="3"/>
        <v>188103.30263152998</v>
      </c>
      <c r="T32" s="65">
        <v>5123</v>
      </c>
    </row>
    <row r="33" spans="1:20" ht="31.5">
      <c r="A33" s="128">
        <f t="shared" si="8"/>
        <v>23</v>
      </c>
      <c r="B33" s="57" t="s">
        <v>613</v>
      </c>
      <c r="C33" s="71">
        <v>27</v>
      </c>
      <c r="D33" s="72">
        <v>38035</v>
      </c>
      <c r="E33" s="130" t="s">
        <v>186</v>
      </c>
      <c r="F33" s="130" t="s">
        <v>625</v>
      </c>
      <c r="G33" s="58">
        <v>11</v>
      </c>
      <c r="H33" s="58">
        <f t="shared" si="4"/>
        <v>11</v>
      </c>
      <c r="I33" s="59">
        <v>108.11</v>
      </c>
      <c r="J33" s="58">
        <v>3</v>
      </c>
      <c r="K33" s="58">
        <v>1</v>
      </c>
      <c r="L33" s="58">
        <v>2</v>
      </c>
      <c r="M33" s="59">
        <v>108.11</v>
      </c>
      <c r="N33" s="59">
        <v>33.5</v>
      </c>
      <c r="O33" s="59">
        <v>74.61</v>
      </c>
      <c r="P33" s="65">
        <f t="shared" si="5"/>
        <v>3691956.5</v>
      </c>
      <c r="Q33" s="65">
        <f t="shared" si="6"/>
        <v>1891232.0968553098</v>
      </c>
      <c r="R33" s="65">
        <f t="shared" si="7"/>
        <v>1675580.722852415</v>
      </c>
      <c r="S33" s="65">
        <f t="shared" si="3"/>
        <v>125143.68029227527</v>
      </c>
      <c r="T33" s="65">
        <v>0</v>
      </c>
    </row>
    <row r="34" spans="1:20" ht="15.75">
      <c r="A34" s="149" t="s">
        <v>615</v>
      </c>
      <c r="B34" s="149"/>
      <c r="C34" s="58"/>
      <c r="D34" s="58"/>
      <c r="E34" s="58"/>
      <c r="F34" s="58"/>
      <c r="G34" s="131">
        <f>SUM(G35:G43)</f>
        <v>231</v>
      </c>
      <c r="H34" s="131">
        <f aca="true" t="shared" si="9" ref="H34:T34">SUM(H35:H43)</f>
        <v>231</v>
      </c>
      <c r="I34" s="59">
        <f t="shared" si="9"/>
        <v>3838</v>
      </c>
      <c r="J34" s="131">
        <f>SUM(J35:J43)</f>
        <v>108</v>
      </c>
      <c r="K34" s="131">
        <f t="shared" si="9"/>
        <v>71</v>
      </c>
      <c r="L34" s="131">
        <f t="shared" si="9"/>
        <v>37</v>
      </c>
      <c r="M34" s="59">
        <f t="shared" si="9"/>
        <v>3838</v>
      </c>
      <c r="N34" s="59">
        <f t="shared" si="9"/>
        <v>2851.7999999999997</v>
      </c>
      <c r="O34" s="59">
        <f t="shared" si="9"/>
        <v>986.1999999999999</v>
      </c>
      <c r="P34" s="65">
        <f t="shared" si="9"/>
        <v>131067700</v>
      </c>
      <c r="Q34" s="65">
        <f t="shared" si="9"/>
        <v>72376600</v>
      </c>
      <c r="R34" s="65">
        <f t="shared" si="9"/>
        <v>33790300</v>
      </c>
      <c r="S34" s="65">
        <f t="shared" si="9"/>
        <v>24900800</v>
      </c>
      <c r="T34" s="65">
        <f t="shared" si="9"/>
        <v>0</v>
      </c>
    </row>
    <row r="35" spans="1:20" ht="31.5">
      <c r="A35" s="71">
        <v>24</v>
      </c>
      <c r="B35" s="36" t="s">
        <v>616</v>
      </c>
      <c r="C35" s="33">
        <v>25</v>
      </c>
      <c r="D35" s="130">
        <v>39785</v>
      </c>
      <c r="E35" s="130" t="s">
        <v>186</v>
      </c>
      <c r="F35" s="130" t="s">
        <v>625</v>
      </c>
      <c r="G35" s="58">
        <v>17</v>
      </c>
      <c r="H35" s="58">
        <v>17</v>
      </c>
      <c r="I35" s="59">
        <v>187</v>
      </c>
      <c r="J35" s="58">
        <f>K35+L35</f>
        <v>5</v>
      </c>
      <c r="K35" s="58">
        <v>2</v>
      </c>
      <c r="L35" s="58">
        <v>3</v>
      </c>
      <c r="M35" s="59">
        <f>N35+O35</f>
        <v>187</v>
      </c>
      <c r="N35" s="59">
        <v>79</v>
      </c>
      <c r="O35" s="59">
        <v>108</v>
      </c>
      <c r="P35" s="65">
        <f>Q35+R35+S35</f>
        <v>6386050</v>
      </c>
      <c r="Q35" s="65">
        <v>3526408</v>
      </c>
      <c r="R35" s="65">
        <v>1646358</v>
      </c>
      <c r="S35" s="65">
        <v>1213284</v>
      </c>
      <c r="T35" s="126">
        <v>0</v>
      </c>
    </row>
    <row r="36" spans="1:20" ht="31.5">
      <c r="A36" s="71">
        <f>A35+1</f>
        <v>25</v>
      </c>
      <c r="B36" s="36" t="s">
        <v>617</v>
      </c>
      <c r="C36" s="33">
        <v>31</v>
      </c>
      <c r="D36" s="130">
        <v>39792</v>
      </c>
      <c r="E36" s="130" t="s">
        <v>186</v>
      </c>
      <c r="F36" s="130" t="s">
        <v>625</v>
      </c>
      <c r="G36" s="58">
        <v>26</v>
      </c>
      <c r="H36" s="58">
        <v>26</v>
      </c>
      <c r="I36" s="59">
        <v>622.3</v>
      </c>
      <c r="J36" s="58">
        <f aca="true" t="shared" si="10" ref="J36:J43">K36+L36</f>
        <v>16</v>
      </c>
      <c r="K36" s="71">
        <v>15</v>
      </c>
      <c r="L36" s="71">
        <v>1</v>
      </c>
      <c r="M36" s="59">
        <f aca="true" t="shared" si="11" ref="M36:M43">N36+O36</f>
        <v>622.3000000000001</v>
      </c>
      <c r="N36" s="59">
        <v>583.1</v>
      </c>
      <c r="O36" s="59">
        <v>39.2</v>
      </c>
      <c r="P36" s="65">
        <f>Q36+R36+S36</f>
        <v>21251545</v>
      </c>
      <c r="Q36" s="65">
        <v>11735283</v>
      </c>
      <c r="R36" s="65">
        <v>5478832</v>
      </c>
      <c r="S36" s="65">
        <v>4037430</v>
      </c>
      <c r="T36" s="126">
        <v>0</v>
      </c>
    </row>
    <row r="37" spans="1:20" ht="31.5">
      <c r="A37" s="71">
        <f aca="true" t="shared" si="12" ref="A37:A43">A36+1</f>
        <v>26</v>
      </c>
      <c r="B37" s="36" t="s">
        <v>618</v>
      </c>
      <c r="C37" s="33">
        <v>33</v>
      </c>
      <c r="D37" s="130">
        <v>39792</v>
      </c>
      <c r="E37" s="130" t="s">
        <v>186</v>
      </c>
      <c r="F37" s="130" t="s">
        <v>625</v>
      </c>
      <c r="G37" s="58">
        <v>16</v>
      </c>
      <c r="H37" s="58">
        <v>16</v>
      </c>
      <c r="I37" s="59">
        <v>402.4</v>
      </c>
      <c r="J37" s="58">
        <f t="shared" si="10"/>
        <v>8</v>
      </c>
      <c r="K37" s="71">
        <v>8</v>
      </c>
      <c r="L37" s="71">
        <v>0</v>
      </c>
      <c r="M37" s="59">
        <f t="shared" si="11"/>
        <v>402.4</v>
      </c>
      <c r="N37" s="59">
        <v>402.4</v>
      </c>
      <c r="O37" s="59">
        <v>0</v>
      </c>
      <c r="P37" s="65">
        <f aca="true" t="shared" si="13" ref="P37:P43">Q37+R37+S37</f>
        <v>13741960</v>
      </c>
      <c r="Q37" s="65">
        <v>7588415</v>
      </c>
      <c r="R37" s="65">
        <v>3542786</v>
      </c>
      <c r="S37" s="65">
        <v>2610759</v>
      </c>
      <c r="T37" s="126">
        <v>0</v>
      </c>
    </row>
    <row r="38" spans="1:20" ht="31.5">
      <c r="A38" s="71">
        <f t="shared" si="12"/>
        <v>27</v>
      </c>
      <c r="B38" s="36" t="s">
        <v>619</v>
      </c>
      <c r="C38" s="33">
        <v>41</v>
      </c>
      <c r="D38" s="130">
        <v>39799</v>
      </c>
      <c r="E38" s="130" t="s">
        <v>186</v>
      </c>
      <c r="F38" s="130" t="s">
        <v>625</v>
      </c>
      <c r="G38" s="58">
        <v>22</v>
      </c>
      <c r="H38" s="58">
        <v>22</v>
      </c>
      <c r="I38" s="59">
        <v>387.5</v>
      </c>
      <c r="J38" s="58">
        <f t="shared" si="10"/>
        <v>10</v>
      </c>
      <c r="K38" s="71">
        <v>8</v>
      </c>
      <c r="L38" s="71">
        <v>2</v>
      </c>
      <c r="M38" s="59">
        <f t="shared" si="11"/>
        <v>387.5</v>
      </c>
      <c r="N38" s="59">
        <v>330.1</v>
      </c>
      <c r="O38" s="59">
        <v>57.4</v>
      </c>
      <c r="P38" s="65">
        <f t="shared" si="13"/>
        <v>13233125</v>
      </c>
      <c r="Q38" s="65">
        <v>7307431</v>
      </c>
      <c r="R38" s="65">
        <v>3411603</v>
      </c>
      <c r="S38" s="65">
        <v>2514091</v>
      </c>
      <c r="T38" s="126">
        <v>0</v>
      </c>
    </row>
    <row r="39" spans="1:20" ht="31.5">
      <c r="A39" s="71">
        <f t="shared" si="12"/>
        <v>28</v>
      </c>
      <c r="B39" s="36" t="s">
        <v>620</v>
      </c>
      <c r="C39" s="33">
        <v>47</v>
      </c>
      <c r="D39" s="130">
        <v>39799</v>
      </c>
      <c r="E39" s="130" t="s">
        <v>186</v>
      </c>
      <c r="F39" s="130" t="s">
        <v>625</v>
      </c>
      <c r="G39" s="58">
        <v>24</v>
      </c>
      <c r="H39" s="58">
        <v>24</v>
      </c>
      <c r="I39" s="59">
        <v>537.7</v>
      </c>
      <c r="J39" s="58">
        <f t="shared" si="10"/>
        <v>12</v>
      </c>
      <c r="K39" s="71">
        <v>11</v>
      </c>
      <c r="L39" s="71">
        <v>1</v>
      </c>
      <c r="M39" s="59">
        <f t="shared" si="11"/>
        <v>537.7</v>
      </c>
      <c r="N39" s="59">
        <v>493.2</v>
      </c>
      <c r="O39" s="59">
        <v>44.5</v>
      </c>
      <c r="P39" s="65">
        <f t="shared" si="13"/>
        <v>18362455</v>
      </c>
      <c r="Q39" s="65">
        <v>10139898</v>
      </c>
      <c r="R39" s="65">
        <v>4733996</v>
      </c>
      <c r="S39" s="65">
        <v>3488561</v>
      </c>
      <c r="T39" s="126">
        <v>0</v>
      </c>
    </row>
    <row r="40" spans="1:20" ht="31.5">
      <c r="A40" s="71">
        <f t="shared" si="12"/>
        <v>29</v>
      </c>
      <c r="B40" s="36" t="s">
        <v>621</v>
      </c>
      <c r="C40" s="33">
        <v>1</v>
      </c>
      <c r="D40" s="130">
        <v>40526</v>
      </c>
      <c r="E40" s="130" t="s">
        <v>186</v>
      </c>
      <c r="F40" s="130" t="s">
        <v>625</v>
      </c>
      <c r="G40" s="58">
        <v>11</v>
      </c>
      <c r="H40" s="58">
        <v>11</v>
      </c>
      <c r="I40" s="59">
        <v>98.8</v>
      </c>
      <c r="J40" s="58">
        <f t="shared" si="10"/>
        <v>4</v>
      </c>
      <c r="K40" s="71">
        <v>3</v>
      </c>
      <c r="L40" s="71">
        <v>1</v>
      </c>
      <c r="M40" s="59">
        <f t="shared" si="11"/>
        <v>98.80000000000001</v>
      </c>
      <c r="N40" s="59">
        <v>75.9</v>
      </c>
      <c r="O40" s="59">
        <v>22.9</v>
      </c>
      <c r="P40" s="65">
        <f t="shared" si="13"/>
        <v>3374020</v>
      </c>
      <c r="Q40" s="65">
        <v>1863136</v>
      </c>
      <c r="R40" s="65">
        <v>869826</v>
      </c>
      <c r="S40" s="65">
        <v>641058</v>
      </c>
      <c r="T40" s="126">
        <v>0</v>
      </c>
    </row>
    <row r="41" spans="1:20" ht="31.5">
      <c r="A41" s="71">
        <f t="shared" si="12"/>
        <v>30</v>
      </c>
      <c r="B41" s="36" t="s">
        <v>622</v>
      </c>
      <c r="C41" s="33">
        <v>3</v>
      </c>
      <c r="D41" s="130">
        <v>40526</v>
      </c>
      <c r="E41" s="130" t="s">
        <v>186</v>
      </c>
      <c r="F41" s="130" t="s">
        <v>625</v>
      </c>
      <c r="G41" s="58">
        <v>22</v>
      </c>
      <c r="H41" s="58">
        <v>22</v>
      </c>
      <c r="I41" s="59">
        <v>514</v>
      </c>
      <c r="J41" s="58">
        <f t="shared" si="10"/>
        <v>12</v>
      </c>
      <c r="K41" s="71">
        <v>12</v>
      </c>
      <c r="L41" s="71">
        <v>0</v>
      </c>
      <c r="M41" s="59">
        <f t="shared" si="11"/>
        <v>514</v>
      </c>
      <c r="N41" s="59">
        <v>514</v>
      </c>
      <c r="O41" s="59">
        <v>0</v>
      </c>
      <c r="P41" s="65">
        <f t="shared" si="13"/>
        <v>17553100</v>
      </c>
      <c r="Q41" s="65">
        <v>9692965</v>
      </c>
      <c r="R41" s="65">
        <v>4525335</v>
      </c>
      <c r="S41" s="65">
        <v>3334800</v>
      </c>
      <c r="T41" s="126">
        <v>0</v>
      </c>
    </row>
    <row r="42" spans="1:20" ht="47.25">
      <c r="A42" s="71">
        <f t="shared" si="12"/>
        <v>31</v>
      </c>
      <c r="B42" s="36" t="s">
        <v>623</v>
      </c>
      <c r="C42" s="33">
        <v>19</v>
      </c>
      <c r="D42" s="130">
        <v>39766</v>
      </c>
      <c r="E42" s="130" t="s">
        <v>186</v>
      </c>
      <c r="F42" s="130" t="s">
        <v>625</v>
      </c>
      <c r="G42" s="58">
        <v>61</v>
      </c>
      <c r="H42" s="58">
        <v>61</v>
      </c>
      <c r="I42" s="59">
        <v>707.3</v>
      </c>
      <c r="J42" s="58">
        <f t="shared" si="10"/>
        <v>27</v>
      </c>
      <c r="K42" s="71">
        <v>8</v>
      </c>
      <c r="L42" s="71">
        <v>19</v>
      </c>
      <c r="M42" s="59">
        <f t="shared" si="11"/>
        <v>707.3</v>
      </c>
      <c r="N42" s="59">
        <v>250.5</v>
      </c>
      <c r="O42" s="59">
        <v>456.8</v>
      </c>
      <c r="P42" s="65">
        <f t="shared" si="13"/>
        <v>24154295</v>
      </c>
      <c r="Q42" s="65">
        <v>13338210</v>
      </c>
      <c r="R42" s="65">
        <v>6227189</v>
      </c>
      <c r="S42" s="65">
        <v>4588896</v>
      </c>
      <c r="T42" s="126">
        <v>0</v>
      </c>
    </row>
    <row r="43" spans="1:20" ht="47.25">
      <c r="A43" s="71">
        <f t="shared" si="12"/>
        <v>32</v>
      </c>
      <c r="B43" s="36" t="s">
        <v>624</v>
      </c>
      <c r="C43" s="33">
        <v>2</v>
      </c>
      <c r="D43" s="130">
        <v>40526</v>
      </c>
      <c r="E43" s="130" t="s">
        <v>186</v>
      </c>
      <c r="F43" s="130" t="s">
        <v>625</v>
      </c>
      <c r="G43" s="58">
        <v>32</v>
      </c>
      <c r="H43" s="58">
        <v>32</v>
      </c>
      <c r="I43" s="59">
        <v>381</v>
      </c>
      <c r="J43" s="58">
        <f t="shared" si="10"/>
        <v>14</v>
      </c>
      <c r="K43" s="71">
        <v>4</v>
      </c>
      <c r="L43" s="71">
        <v>10</v>
      </c>
      <c r="M43" s="59">
        <f t="shared" si="11"/>
        <v>381</v>
      </c>
      <c r="N43" s="59">
        <v>123.6</v>
      </c>
      <c r="O43" s="59">
        <v>257.4</v>
      </c>
      <c r="P43" s="65">
        <f t="shared" si="13"/>
        <v>13011150</v>
      </c>
      <c r="Q43" s="65">
        <v>7184854</v>
      </c>
      <c r="R43" s="65">
        <v>3354375</v>
      </c>
      <c r="S43" s="65">
        <v>2471921</v>
      </c>
      <c r="T43" s="126">
        <v>0</v>
      </c>
    </row>
    <row r="44" spans="1:20" ht="15.75">
      <c r="A44" s="149" t="s">
        <v>626</v>
      </c>
      <c r="B44" s="149"/>
      <c r="C44" s="58"/>
      <c r="D44" s="58"/>
      <c r="E44" s="58"/>
      <c r="F44" s="58"/>
      <c r="G44" s="40">
        <f>G45+G46+G47+G48+G49+G50+G51+G52</f>
        <v>66</v>
      </c>
      <c r="H44" s="40">
        <f aca="true" t="shared" si="14" ref="H44:T44">H45+H46+H47+H48+H49+H50+H51+H52</f>
        <v>66</v>
      </c>
      <c r="I44" s="119">
        <f t="shared" si="14"/>
        <v>1117.3</v>
      </c>
      <c r="J44" s="40">
        <f>J45+J46+J47+J48+J49+J50+J51+J52</f>
        <v>31</v>
      </c>
      <c r="K44" s="40">
        <f t="shared" si="14"/>
        <v>20</v>
      </c>
      <c r="L44" s="40">
        <f t="shared" si="14"/>
        <v>11</v>
      </c>
      <c r="M44" s="119">
        <f t="shared" si="14"/>
        <v>1117.3</v>
      </c>
      <c r="N44" s="119">
        <f t="shared" si="14"/>
        <v>745.8</v>
      </c>
      <c r="O44" s="119">
        <f t="shared" si="14"/>
        <v>371.5</v>
      </c>
      <c r="P44" s="44">
        <f t="shared" si="14"/>
        <v>38155795</v>
      </c>
      <c r="Q44" s="44">
        <f t="shared" si="14"/>
        <v>18468999.999999996</v>
      </c>
      <c r="R44" s="44">
        <f t="shared" si="14"/>
        <v>16363000.000000002</v>
      </c>
      <c r="S44" s="44">
        <f t="shared" si="14"/>
        <v>3323795.000000002</v>
      </c>
      <c r="T44" s="44">
        <f t="shared" si="14"/>
        <v>542985.0000000003</v>
      </c>
    </row>
    <row r="45" spans="1:20" ht="31.5">
      <c r="A45" s="39">
        <v>33</v>
      </c>
      <c r="B45" s="95" t="s">
        <v>202</v>
      </c>
      <c r="C45" s="40">
        <v>10</v>
      </c>
      <c r="D45" s="40" t="s">
        <v>574</v>
      </c>
      <c r="E45" s="130" t="s">
        <v>186</v>
      </c>
      <c r="F45" s="130" t="s">
        <v>625</v>
      </c>
      <c r="G45" s="40">
        <v>12</v>
      </c>
      <c r="H45" s="40">
        <v>12</v>
      </c>
      <c r="I45" s="119">
        <v>155.2</v>
      </c>
      <c r="J45" s="40">
        <v>6</v>
      </c>
      <c r="K45" s="40">
        <v>3</v>
      </c>
      <c r="L45" s="40">
        <v>3</v>
      </c>
      <c r="M45" s="119">
        <v>155.2</v>
      </c>
      <c r="N45" s="119">
        <v>85</v>
      </c>
      <c r="O45" s="123">
        <v>70.2</v>
      </c>
      <c r="P45" s="44">
        <f>M45*34150</f>
        <v>5300080</v>
      </c>
      <c r="Q45" s="44">
        <v>2565460.30609505</v>
      </c>
      <c r="R45" s="44">
        <v>2272923.6552403113</v>
      </c>
      <c r="S45" s="65">
        <v>461696.03866463853</v>
      </c>
      <c r="T45" s="65">
        <v>0</v>
      </c>
    </row>
    <row r="46" spans="1:20" ht="31.5">
      <c r="A46" s="39">
        <f>A45+1</f>
        <v>34</v>
      </c>
      <c r="B46" s="95" t="s">
        <v>203</v>
      </c>
      <c r="C46" s="40">
        <v>34</v>
      </c>
      <c r="D46" s="41">
        <v>38076</v>
      </c>
      <c r="E46" s="130" t="s">
        <v>186</v>
      </c>
      <c r="F46" s="130" t="s">
        <v>625</v>
      </c>
      <c r="G46" s="40">
        <v>3</v>
      </c>
      <c r="H46" s="40">
        <v>3</v>
      </c>
      <c r="I46" s="123">
        <v>106.1</v>
      </c>
      <c r="J46" s="40">
        <v>2</v>
      </c>
      <c r="K46" s="40">
        <v>2</v>
      </c>
      <c r="L46" s="40">
        <v>0</v>
      </c>
      <c r="M46" s="123">
        <v>106.1</v>
      </c>
      <c r="N46" s="119">
        <v>106.1</v>
      </c>
      <c r="O46" s="123">
        <v>0</v>
      </c>
      <c r="P46" s="44">
        <v>3623315</v>
      </c>
      <c r="Q46" s="44">
        <v>1753835.9437930724</v>
      </c>
      <c r="R46" s="44">
        <v>1553847.9369909603</v>
      </c>
      <c r="S46" s="65">
        <v>315631.11921596737</v>
      </c>
      <c r="T46" s="65">
        <v>6830.000000000097</v>
      </c>
    </row>
    <row r="47" spans="1:20" ht="31.5">
      <c r="A47" s="39">
        <f aca="true" t="shared" si="15" ref="A47:A52">A46+1</f>
        <v>35</v>
      </c>
      <c r="B47" s="95" t="s">
        <v>204</v>
      </c>
      <c r="C47" s="40">
        <v>51</v>
      </c>
      <c r="D47" s="41">
        <v>38076</v>
      </c>
      <c r="E47" s="130" t="s">
        <v>186</v>
      </c>
      <c r="F47" s="130" t="s">
        <v>625</v>
      </c>
      <c r="G47" s="40">
        <v>8</v>
      </c>
      <c r="H47" s="40">
        <v>8</v>
      </c>
      <c r="I47" s="124">
        <v>143.7</v>
      </c>
      <c r="J47" s="40">
        <v>4</v>
      </c>
      <c r="K47" s="40">
        <v>3</v>
      </c>
      <c r="L47" s="40">
        <v>1</v>
      </c>
      <c r="M47" s="124">
        <v>143.7</v>
      </c>
      <c r="N47" s="124">
        <v>108.6</v>
      </c>
      <c r="O47" s="123">
        <v>35.1</v>
      </c>
      <c r="P47" s="44">
        <v>4907355</v>
      </c>
      <c r="Q47" s="44">
        <v>2375364.9870222853</v>
      </c>
      <c r="R47" s="44">
        <v>2104504.6988275307</v>
      </c>
      <c r="S47" s="65">
        <v>427485.3141501839</v>
      </c>
      <c r="T47" s="65">
        <v>10245.000000000387</v>
      </c>
    </row>
    <row r="48" spans="1:20" ht="31.5">
      <c r="A48" s="39">
        <f t="shared" si="15"/>
        <v>36</v>
      </c>
      <c r="B48" s="95" t="s">
        <v>205</v>
      </c>
      <c r="C48" s="40">
        <v>27</v>
      </c>
      <c r="D48" s="46">
        <v>39268</v>
      </c>
      <c r="E48" s="130" t="s">
        <v>186</v>
      </c>
      <c r="F48" s="130" t="s">
        <v>625</v>
      </c>
      <c r="G48" s="40">
        <v>12</v>
      </c>
      <c r="H48" s="40">
        <v>12</v>
      </c>
      <c r="I48" s="119">
        <v>176.5</v>
      </c>
      <c r="J48" s="40">
        <v>6</v>
      </c>
      <c r="K48" s="40">
        <v>4</v>
      </c>
      <c r="L48" s="40">
        <v>2</v>
      </c>
      <c r="M48" s="119">
        <v>176.5</v>
      </c>
      <c r="N48" s="119">
        <v>114.9</v>
      </c>
      <c r="O48" s="119">
        <v>61.6</v>
      </c>
      <c r="P48" s="44">
        <v>6027475</v>
      </c>
      <c r="Q48" s="44">
        <v>2917549.8970733015</v>
      </c>
      <c r="R48" s="44">
        <v>2584864.852770071</v>
      </c>
      <c r="S48" s="65">
        <v>525060.2501566275</v>
      </c>
      <c r="T48" s="65">
        <v>0</v>
      </c>
    </row>
    <row r="49" spans="1:20" ht="31.5">
      <c r="A49" s="39">
        <f t="shared" si="15"/>
        <v>37</v>
      </c>
      <c r="B49" s="95" t="s">
        <v>206</v>
      </c>
      <c r="C49" s="40">
        <v>21</v>
      </c>
      <c r="D49" s="41">
        <v>38076</v>
      </c>
      <c r="E49" s="130" t="s">
        <v>186</v>
      </c>
      <c r="F49" s="130" t="s">
        <v>625</v>
      </c>
      <c r="G49" s="40">
        <v>5</v>
      </c>
      <c r="H49" s="40">
        <v>5</v>
      </c>
      <c r="I49" s="119">
        <v>138.5</v>
      </c>
      <c r="J49" s="40">
        <v>3</v>
      </c>
      <c r="K49" s="40">
        <v>2</v>
      </c>
      <c r="L49" s="40">
        <v>1</v>
      </c>
      <c r="M49" s="119">
        <v>138.5</v>
      </c>
      <c r="N49" s="119">
        <v>77.9</v>
      </c>
      <c r="O49" s="123">
        <v>60.6</v>
      </c>
      <c r="P49" s="44">
        <v>4729775</v>
      </c>
      <c r="Q49" s="44">
        <v>2289408.8427459053</v>
      </c>
      <c r="R49" s="44">
        <v>2028350.0402756645</v>
      </c>
      <c r="S49" s="65">
        <v>412016.1169784302</v>
      </c>
      <c r="T49" s="65">
        <v>3414.999999999806</v>
      </c>
    </row>
    <row r="50" spans="1:20" ht="31.5">
      <c r="A50" s="39">
        <f t="shared" si="15"/>
        <v>38</v>
      </c>
      <c r="B50" s="95" t="s">
        <v>207</v>
      </c>
      <c r="C50" s="43">
        <v>33</v>
      </c>
      <c r="D50" s="41">
        <v>38076</v>
      </c>
      <c r="E50" s="130" t="s">
        <v>186</v>
      </c>
      <c r="F50" s="130" t="s">
        <v>625</v>
      </c>
      <c r="G50" s="40">
        <v>13</v>
      </c>
      <c r="H50" s="40">
        <v>13</v>
      </c>
      <c r="I50" s="119">
        <v>150.6</v>
      </c>
      <c r="J50" s="40">
        <v>4</v>
      </c>
      <c r="K50" s="40">
        <v>2</v>
      </c>
      <c r="L50" s="40">
        <v>2</v>
      </c>
      <c r="M50" s="119">
        <v>150.6</v>
      </c>
      <c r="N50" s="119">
        <v>90.9</v>
      </c>
      <c r="O50" s="119">
        <v>59.7</v>
      </c>
      <c r="P50" s="44">
        <v>5142990</v>
      </c>
      <c r="Q50" s="44">
        <v>2489422.1784659442</v>
      </c>
      <c r="R50" s="44">
        <v>2205556.0726751992</v>
      </c>
      <c r="S50" s="65">
        <v>448011.7488588565</v>
      </c>
      <c r="T50" s="65">
        <v>515665</v>
      </c>
    </row>
    <row r="51" spans="1:20" ht="31.5">
      <c r="A51" s="39">
        <f t="shared" si="15"/>
        <v>39</v>
      </c>
      <c r="B51" s="96" t="s">
        <v>208</v>
      </c>
      <c r="C51" s="43">
        <v>5</v>
      </c>
      <c r="D51" s="41">
        <v>38076</v>
      </c>
      <c r="E51" s="130" t="s">
        <v>186</v>
      </c>
      <c r="F51" s="130" t="s">
        <v>625</v>
      </c>
      <c r="G51" s="40">
        <v>11</v>
      </c>
      <c r="H51" s="40">
        <v>11</v>
      </c>
      <c r="I51" s="119">
        <v>155.7</v>
      </c>
      <c r="J51" s="40">
        <v>4</v>
      </c>
      <c r="K51" s="40">
        <v>3</v>
      </c>
      <c r="L51" s="40">
        <v>1</v>
      </c>
      <c r="M51" s="119">
        <v>155.7</v>
      </c>
      <c r="N51" s="119">
        <v>117</v>
      </c>
      <c r="O51" s="123">
        <v>38.7</v>
      </c>
      <c r="P51" s="44">
        <v>5317155</v>
      </c>
      <c r="Q51" s="44">
        <v>2573725.3199677793</v>
      </c>
      <c r="R51" s="44">
        <v>2280246.2185626063</v>
      </c>
      <c r="S51" s="65">
        <v>463183.4614696144</v>
      </c>
      <c r="T51" s="65">
        <v>0</v>
      </c>
    </row>
    <row r="52" spans="1:20" ht="31.5">
      <c r="A52" s="39">
        <f t="shared" si="15"/>
        <v>40</v>
      </c>
      <c r="B52" s="95" t="s">
        <v>209</v>
      </c>
      <c r="C52" s="40">
        <v>21</v>
      </c>
      <c r="D52" s="41">
        <v>38076</v>
      </c>
      <c r="E52" s="130" t="s">
        <v>186</v>
      </c>
      <c r="F52" s="130" t="s">
        <v>625</v>
      </c>
      <c r="G52" s="40">
        <v>2</v>
      </c>
      <c r="H52" s="40">
        <v>2</v>
      </c>
      <c r="I52" s="123">
        <v>91</v>
      </c>
      <c r="J52" s="40">
        <v>2</v>
      </c>
      <c r="K52" s="40">
        <v>1</v>
      </c>
      <c r="L52" s="40">
        <v>1</v>
      </c>
      <c r="M52" s="123">
        <v>91</v>
      </c>
      <c r="N52" s="119">
        <v>45.4</v>
      </c>
      <c r="O52" s="123">
        <v>45.6</v>
      </c>
      <c r="P52" s="44">
        <v>3107650</v>
      </c>
      <c r="Q52" s="44">
        <v>1504232.5248366597</v>
      </c>
      <c r="R52" s="44">
        <v>1332706.524657657</v>
      </c>
      <c r="S52" s="65">
        <v>270710.95050568343</v>
      </c>
      <c r="T52" s="65">
        <v>6830.000000000097</v>
      </c>
    </row>
    <row r="53" spans="1:20" ht="15.75">
      <c r="A53" s="149" t="s">
        <v>627</v>
      </c>
      <c r="B53" s="149"/>
      <c r="C53" s="58"/>
      <c r="D53" s="58"/>
      <c r="E53" s="58"/>
      <c r="F53" s="58"/>
      <c r="G53" s="58">
        <f aca="true" t="shared" si="16" ref="G53:M53">G54+G55+G56+G57+G58+G59+G60+G61</f>
        <v>50</v>
      </c>
      <c r="H53" s="58">
        <f t="shared" si="16"/>
        <v>50</v>
      </c>
      <c r="I53" s="59">
        <f t="shared" si="16"/>
        <v>908.8000000000001</v>
      </c>
      <c r="J53" s="58">
        <f t="shared" si="16"/>
        <v>29</v>
      </c>
      <c r="K53" s="58">
        <f t="shared" si="16"/>
        <v>7</v>
      </c>
      <c r="L53" s="58">
        <f t="shared" si="16"/>
        <v>22</v>
      </c>
      <c r="M53" s="59">
        <f t="shared" si="16"/>
        <v>908.8000000000001</v>
      </c>
      <c r="N53" s="59">
        <v>262.3</v>
      </c>
      <c r="O53" s="59">
        <v>646.5</v>
      </c>
      <c r="P53" s="65">
        <v>31035520</v>
      </c>
      <c r="Q53" s="65">
        <v>14810400</v>
      </c>
      <c r="R53" s="65">
        <v>13121600</v>
      </c>
      <c r="S53" s="65">
        <v>3103520</v>
      </c>
      <c r="T53" s="65">
        <v>0</v>
      </c>
    </row>
    <row r="54" spans="1:20" ht="31.5">
      <c r="A54" s="43">
        <v>41</v>
      </c>
      <c r="B54" s="132" t="s">
        <v>628</v>
      </c>
      <c r="C54" s="58">
        <v>3</v>
      </c>
      <c r="D54" s="130">
        <v>39077</v>
      </c>
      <c r="E54" s="130" t="s">
        <v>186</v>
      </c>
      <c r="F54" s="130" t="s">
        <v>625</v>
      </c>
      <c r="G54" s="71">
        <v>9</v>
      </c>
      <c r="H54" s="71">
        <v>9</v>
      </c>
      <c r="I54" s="73">
        <v>158.3</v>
      </c>
      <c r="J54" s="58">
        <v>4</v>
      </c>
      <c r="K54" s="58">
        <v>2</v>
      </c>
      <c r="L54" s="74">
        <v>2</v>
      </c>
      <c r="M54" s="73">
        <v>158.3</v>
      </c>
      <c r="N54" s="73">
        <v>73.1</v>
      </c>
      <c r="O54" s="73">
        <v>85.2</v>
      </c>
      <c r="P54" s="65">
        <v>5405945</v>
      </c>
      <c r="Q54" s="126">
        <v>2579761</v>
      </c>
      <c r="R54" s="126">
        <v>2285595</v>
      </c>
      <c r="S54" s="126">
        <v>540589</v>
      </c>
      <c r="T54" s="65">
        <v>0</v>
      </c>
    </row>
    <row r="55" spans="1:20" ht="31.5">
      <c r="A55" s="43">
        <f>A54+1</f>
        <v>42</v>
      </c>
      <c r="B55" s="132" t="s">
        <v>629</v>
      </c>
      <c r="C55" s="58">
        <v>5</v>
      </c>
      <c r="D55" s="130">
        <v>39077</v>
      </c>
      <c r="E55" s="130" t="s">
        <v>186</v>
      </c>
      <c r="F55" s="130" t="s">
        <v>625</v>
      </c>
      <c r="G55" s="71">
        <v>21</v>
      </c>
      <c r="H55" s="71">
        <v>21</v>
      </c>
      <c r="I55" s="73">
        <v>295</v>
      </c>
      <c r="J55" s="71">
        <v>8</v>
      </c>
      <c r="K55" s="71">
        <v>4</v>
      </c>
      <c r="L55" s="33">
        <v>4</v>
      </c>
      <c r="M55" s="73">
        <v>295</v>
      </c>
      <c r="N55" s="73">
        <v>156.1</v>
      </c>
      <c r="O55" s="73">
        <v>138.9</v>
      </c>
      <c r="P55" s="65">
        <v>10074250</v>
      </c>
      <c r="Q55" s="126">
        <v>4807513</v>
      </c>
      <c r="R55" s="126">
        <v>4259322</v>
      </c>
      <c r="S55" s="126">
        <v>1007415</v>
      </c>
      <c r="T55" s="65">
        <v>0</v>
      </c>
    </row>
    <row r="56" spans="1:20" ht="31.5">
      <c r="A56" s="43">
        <f aca="true" t="shared" si="17" ref="A56:A61">A55+1</f>
        <v>43</v>
      </c>
      <c r="B56" s="132" t="s">
        <v>630</v>
      </c>
      <c r="C56" s="58">
        <v>2</v>
      </c>
      <c r="D56" s="130">
        <v>40561</v>
      </c>
      <c r="E56" s="130" t="s">
        <v>186</v>
      </c>
      <c r="F56" s="130" t="s">
        <v>625</v>
      </c>
      <c r="G56" s="71">
        <v>4</v>
      </c>
      <c r="H56" s="71">
        <v>4</v>
      </c>
      <c r="I56" s="73">
        <v>132.4</v>
      </c>
      <c r="J56" s="71">
        <v>4</v>
      </c>
      <c r="K56" s="71">
        <v>1</v>
      </c>
      <c r="L56" s="33">
        <v>3</v>
      </c>
      <c r="M56" s="73">
        <v>132.4</v>
      </c>
      <c r="N56" s="73">
        <v>33.1</v>
      </c>
      <c r="O56" s="73">
        <v>99.3</v>
      </c>
      <c r="P56" s="65">
        <v>4521460</v>
      </c>
      <c r="Q56" s="126">
        <v>2157677</v>
      </c>
      <c r="R56" s="126">
        <v>1911642</v>
      </c>
      <c r="S56" s="126">
        <v>452141</v>
      </c>
      <c r="T56" s="65">
        <v>0</v>
      </c>
    </row>
    <row r="57" spans="1:20" ht="31.5">
      <c r="A57" s="43">
        <f t="shared" si="17"/>
        <v>44</v>
      </c>
      <c r="B57" s="132" t="s">
        <v>631</v>
      </c>
      <c r="C57" s="58">
        <v>3</v>
      </c>
      <c r="D57" s="130">
        <v>40561</v>
      </c>
      <c r="E57" s="130" t="s">
        <v>186</v>
      </c>
      <c r="F57" s="130" t="s">
        <v>625</v>
      </c>
      <c r="G57" s="71">
        <v>4</v>
      </c>
      <c r="H57" s="71">
        <v>4</v>
      </c>
      <c r="I57" s="73">
        <v>120.7</v>
      </c>
      <c r="J57" s="71">
        <v>3</v>
      </c>
      <c r="K57" s="71">
        <v>0</v>
      </c>
      <c r="L57" s="33">
        <v>3</v>
      </c>
      <c r="M57" s="73">
        <v>120.7</v>
      </c>
      <c r="N57" s="73">
        <v>0</v>
      </c>
      <c r="O57" s="73">
        <v>120.7</v>
      </c>
      <c r="P57" s="65">
        <v>4121905</v>
      </c>
      <c r="Q57" s="126">
        <v>1967006</v>
      </c>
      <c r="R57" s="126">
        <v>1742712</v>
      </c>
      <c r="S57" s="126">
        <v>412187</v>
      </c>
      <c r="T57" s="65">
        <v>0</v>
      </c>
    </row>
    <row r="58" spans="1:20" ht="31.5">
      <c r="A58" s="43">
        <f t="shared" si="17"/>
        <v>45</v>
      </c>
      <c r="B58" s="132" t="s">
        <v>632</v>
      </c>
      <c r="C58" s="58">
        <v>6</v>
      </c>
      <c r="D58" s="130">
        <v>40561</v>
      </c>
      <c r="E58" s="130" t="s">
        <v>186</v>
      </c>
      <c r="F58" s="130" t="s">
        <v>625</v>
      </c>
      <c r="G58" s="71">
        <v>6</v>
      </c>
      <c r="H58" s="71">
        <v>6</v>
      </c>
      <c r="I58" s="73">
        <v>75.6</v>
      </c>
      <c r="J58" s="71">
        <v>4</v>
      </c>
      <c r="K58" s="71">
        <v>0</v>
      </c>
      <c r="L58" s="33">
        <v>4</v>
      </c>
      <c r="M58" s="73">
        <v>75.6</v>
      </c>
      <c r="N58" s="73">
        <v>0</v>
      </c>
      <c r="O58" s="73">
        <v>75.6</v>
      </c>
      <c r="P58" s="65">
        <v>2581740</v>
      </c>
      <c r="Q58" s="126">
        <v>1232027</v>
      </c>
      <c r="R58" s="126">
        <v>1091542</v>
      </c>
      <c r="S58" s="126">
        <v>258171</v>
      </c>
      <c r="T58" s="65">
        <v>0</v>
      </c>
    </row>
    <row r="59" spans="1:20" ht="31.5">
      <c r="A59" s="43">
        <f t="shared" si="17"/>
        <v>46</v>
      </c>
      <c r="B59" s="132" t="s">
        <v>633</v>
      </c>
      <c r="C59" s="58">
        <v>5</v>
      </c>
      <c r="D59" s="130">
        <v>40561</v>
      </c>
      <c r="E59" s="130" t="s">
        <v>186</v>
      </c>
      <c r="F59" s="130" t="s">
        <v>625</v>
      </c>
      <c r="G59" s="71">
        <v>2</v>
      </c>
      <c r="H59" s="71">
        <v>2</v>
      </c>
      <c r="I59" s="73">
        <v>61.6</v>
      </c>
      <c r="J59" s="71">
        <v>2</v>
      </c>
      <c r="K59" s="71">
        <v>0</v>
      </c>
      <c r="L59" s="33">
        <v>2</v>
      </c>
      <c r="M59" s="73">
        <v>61.6</v>
      </c>
      <c r="N59" s="73">
        <v>0</v>
      </c>
      <c r="O59" s="73">
        <v>61.6</v>
      </c>
      <c r="P59" s="65">
        <v>2103640</v>
      </c>
      <c r="Q59" s="126">
        <v>1003874</v>
      </c>
      <c r="R59" s="126">
        <v>889404</v>
      </c>
      <c r="S59" s="126">
        <v>210362</v>
      </c>
      <c r="T59" s="65">
        <v>0</v>
      </c>
    </row>
    <row r="60" spans="1:20" ht="31.5">
      <c r="A60" s="43">
        <f t="shared" si="17"/>
        <v>47</v>
      </c>
      <c r="B60" s="132" t="s">
        <v>634</v>
      </c>
      <c r="C60" s="58">
        <v>4</v>
      </c>
      <c r="D60" s="130">
        <v>40561</v>
      </c>
      <c r="E60" s="130" t="s">
        <v>186</v>
      </c>
      <c r="F60" s="130" t="s">
        <v>625</v>
      </c>
      <c r="G60" s="71">
        <v>2</v>
      </c>
      <c r="H60" s="71">
        <v>2</v>
      </c>
      <c r="I60" s="73">
        <v>22.4</v>
      </c>
      <c r="J60" s="71">
        <v>2</v>
      </c>
      <c r="K60" s="71">
        <v>0</v>
      </c>
      <c r="L60" s="33">
        <v>2</v>
      </c>
      <c r="M60" s="73">
        <v>22.4</v>
      </c>
      <c r="N60" s="73">
        <v>0</v>
      </c>
      <c r="O60" s="73">
        <v>22.4</v>
      </c>
      <c r="P60" s="65">
        <v>764960</v>
      </c>
      <c r="Q60" s="126">
        <v>365045</v>
      </c>
      <c r="R60" s="126">
        <v>323420</v>
      </c>
      <c r="S60" s="126">
        <v>76495</v>
      </c>
      <c r="T60" s="65">
        <v>0</v>
      </c>
    </row>
    <row r="61" spans="1:20" ht="31.5">
      <c r="A61" s="43">
        <f t="shared" si="17"/>
        <v>48</v>
      </c>
      <c r="B61" s="132" t="s">
        <v>635</v>
      </c>
      <c r="C61" s="58">
        <v>1</v>
      </c>
      <c r="D61" s="130">
        <v>40561</v>
      </c>
      <c r="E61" s="130" t="s">
        <v>186</v>
      </c>
      <c r="F61" s="130" t="s">
        <v>625</v>
      </c>
      <c r="G61" s="71">
        <v>2</v>
      </c>
      <c r="H61" s="71">
        <v>2</v>
      </c>
      <c r="I61" s="73">
        <v>42.8</v>
      </c>
      <c r="J61" s="71">
        <v>2</v>
      </c>
      <c r="K61" s="71">
        <v>0</v>
      </c>
      <c r="L61" s="33">
        <v>2</v>
      </c>
      <c r="M61" s="73">
        <v>42.8</v>
      </c>
      <c r="N61" s="73">
        <v>0</v>
      </c>
      <c r="O61" s="73">
        <v>42.8</v>
      </c>
      <c r="P61" s="65">
        <v>1461620</v>
      </c>
      <c r="Q61" s="126">
        <v>697497</v>
      </c>
      <c r="R61" s="126">
        <v>617963</v>
      </c>
      <c r="S61" s="126">
        <v>146160</v>
      </c>
      <c r="T61" s="65">
        <v>0</v>
      </c>
    </row>
    <row r="62" spans="1:20" ht="15.75">
      <c r="A62" s="157" t="s">
        <v>636</v>
      </c>
      <c r="B62" s="157"/>
      <c r="C62" s="71"/>
      <c r="D62" s="71"/>
      <c r="E62" s="71"/>
      <c r="F62" s="71"/>
      <c r="G62" s="71">
        <f>SUM(G63:G85)</f>
        <v>201</v>
      </c>
      <c r="H62" s="71">
        <f aca="true" t="shared" si="18" ref="H62:T62">SUM(H63:H85)</f>
        <v>201</v>
      </c>
      <c r="I62" s="73">
        <f t="shared" si="18"/>
        <v>2981.7599999999998</v>
      </c>
      <c r="J62" s="71">
        <f>SUM(J63:J85)</f>
        <v>75</v>
      </c>
      <c r="K62" s="71">
        <f t="shared" si="18"/>
        <v>42</v>
      </c>
      <c r="L62" s="71">
        <f t="shared" si="18"/>
        <v>33</v>
      </c>
      <c r="M62" s="73">
        <f t="shared" si="18"/>
        <v>2981.7599999999998</v>
      </c>
      <c r="N62" s="73">
        <f t="shared" si="18"/>
        <v>1669.7599999999998</v>
      </c>
      <c r="O62" s="73">
        <f t="shared" si="18"/>
        <v>1312</v>
      </c>
      <c r="P62" s="126">
        <f t="shared" si="18"/>
        <v>101827104</v>
      </c>
      <c r="Q62" s="126">
        <f>SUM(Q63:Q85)</f>
        <v>48889899.99925845</v>
      </c>
      <c r="R62" s="126">
        <f t="shared" si="18"/>
        <v>43315099.99997507</v>
      </c>
      <c r="S62" s="126">
        <f t="shared" si="18"/>
        <v>9622104.00076649</v>
      </c>
      <c r="T62" s="126">
        <f t="shared" si="18"/>
        <v>1519675</v>
      </c>
    </row>
    <row r="63" spans="1:20" ht="31.5">
      <c r="A63" s="118">
        <v>49</v>
      </c>
      <c r="B63" s="133" t="s">
        <v>637</v>
      </c>
      <c r="C63" s="33">
        <v>68</v>
      </c>
      <c r="D63" s="134">
        <v>38125</v>
      </c>
      <c r="E63" s="33" t="s">
        <v>187</v>
      </c>
      <c r="F63" s="33" t="s">
        <v>188</v>
      </c>
      <c r="G63" s="33">
        <v>4</v>
      </c>
      <c r="H63" s="33">
        <v>4</v>
      </c>
      <c r="I63" s="85">
        <v>105.3</v>
      </c>
      <c r="J63" s="33">
        <v>4</v>
      </c>
      <c r="K63" s="33">
        <v>4</v>
      </c>
      <c r="L63" s="71">
        <v>0</v>
      </c>
      <c r="M63" s="85">
        <v>105.3</v>
      </c>
      <c r="N63" s="85">
        <v>105.3</v>
      </c>
      <c r="O63" s="73">
        <v>0</v>
      </c>
      <c r="P63" s="84">
        <f>M63*34150</f>
        <v>3595995</v>
      </c>
      <c r="Q63" s="84">
        <f>P63*0.4801265879</f>
        <v>1726532.8094554606</v>
      </c>
      <c r="R63" s="84">
        <f>P63*0.42537888537</f>
        <v>1529660.3448960932</v>
      </c>
      <c r="S63" s="84">
        <f>P63-Q63-R63</f>
        <v>339801.8456484461</v>
      </c>
      <c r="T63" s="126">
        <v>0</v>
      </c>
    </row>
    <row r="64" spans="1:20" ht="31.5">
      <c r="A64" s="118">
        <f>A63+1</f>
        <v>50</v>
      </c>
      <c r="B64" s="133" t="s">
        <v>109</v>
      </c>
      <c r="C64" s="33">
        <v>55</v>
      </c>
      <c r="D64" s="134">
        <v>38125</v>
      </c>
      <c r="E64" s="33" t="s">
        <v>187</v>
      </c>
      <c r="F64" s="33" t="s">
        <v>188</v>
      </c>
      <c r="G64" s="33">
        <v>5</v>
      </c>
      <c r="H64" s="33">
        <v>5</v>
      </c>
      <c r="I64" s="85">
        <v>65.5</v>
      </c>
      <c r="J64" s="33">
        <v>1</v>
      </c>
      <c r="K64" s="71">
        <v>0</v>
      </c>
      <c r="L64" s="33">
        <v>1</v>
      </c>
      <c r="M64" s="85">
        <v>65.5</v>
      </c>
      <c r="N64" s="73">
        <v>0</v>
      </c>
      <c r="O64" s="85">
        <v>65.5</v>
      </c>
      <c r="P64" s="84">
        <f aca="true" t="shared" si="19" ref="P64:P85">M64*34150</f>
        <v>2236825</v>
      </c>
      <c r="Q64" s="84">
        <f aca="true" t="shared" si="20" ref="Q64:Q85">P64*0.4801265879</f>
        <v>1073959.1549794176</v>
      </c>
      <c r="R64" s="84">
        <f aca="true" t="shared" si="21" ref="R64:R85">P64*0.42537888537</f>
        <v>951498.1252677502</v>
      </c>
      <c r="S64" s="84">
        <f aca="true" t="shared" si="22" ref="S64:S85">P64-Q64-R64</f>
        <v>211367.7197528322</v>
      </c>
      <c r="T64" s="126">
        <v>0</v>
      </c>
    </row>
    <row r="65" spans="1:20" ht="31.5">
      <c r="A65" s="118">
        <f aca="true" t="shared" si="23" ref="A65:A85">A64+1</f>
        <v>51</v>
      </c>
      <c r="B65" s="133" t="s">
        <v>110</v>
      </c>
      <c r="C65" s="33">
        <v>56</v>
      </c>
      <c r="D65" s="134">
        <v>38125</v>
      </c>
      <c r="E65" s="33" t="s">
        <v>187</v>
      </c>
      <c r="F65" s="33" t="s">
        <v>188</v>
      </c>
      <c r="G65" s="33">
        <v>8</v>
      </c>
      <c r="H65" s="33">
        <v>8</v>
      </c>
      <c r="I65" s="85">
        <v>135.4</v>
      </c>
      <c r="J65" s="33">
        <v>2</v>
      </c>
      <c r="K65" s="135">
        <v>2</v>
      </c>
      <c r="L65" s="71">
        <v>0</v>
      </c>
      <c r="M65" s="85">
        <v>135.4</v>
      </c>
      <c r="N65" s="85">
        <v>135.4</v>
      </c>
      <c r="O65" s="73">
        <v>0</v>
      </c>
      <c r="P65" s="84">
        <f t="shared" si="19"/>
        <v>4623910</v>
      </c>
      <c r="Q65" s="84">
        <f t="shared" si="20"/>
        <v>2220062.131056689</v>
      </c>
      <c r="R65" s="84">
        <f t="shared" si="21"/>
        <v>1966913.6818511968</v>
      </c>
      <c r="S65" s="84">
        <f t="shared" si="22"/>
        <v>436934.187092114</v>
      </c>
      <c r="T65" s="126">
        <v>0</v>
      </c>
    </row>
    <row r="66" spans="1:20" ht="31.5">
      <c r="A66" s="118">
        <f t="shared" si="23"/>
        <v>52</v>
      </c>
      <c r="B66" s="133" t="s">
        <v>111</v>
      </c>
      <c r="C66" s="33">
        <v>59</v>
      </c>
      <c r="D66" s="134">
        <v>38125</v>
      </c>
      <c r="E66" s="33" t="s">
        <v>187</v>
      </c>
      <c r="F66" s="33" t="s">
        <v>188</v>
      </c>
      <c r="G66" s="33">
        <v>5</v>
      </c>
      <c r="H66" s="33">
        <v>5</v>
      </c>
      <c r="I66" s="85">
        <v>131.9</v>
      </c>
      <c r="J66" s="33">
        <v>2</v>
      </c>
      <c r="K66" s="71">
        <v>0</v>
      </c>
      <c r="L66" s="135">
        <v>2</v>
      </c>
      <c r="M66" s="85">
        <v>131.9</v>
      </c>
      <c r="N66" s="73">
        <v>0</v>
      </c>
      <c r="O66" s="85">
        <v>131.9</v>
      </c>
      <c r="P66" s="84">
        <f t="shared" si="19"/>
        <v>4504385</v>
      </c>
      <c r="Q66" s="84">
        <f t="shared" si="20"/>
        <v>2162675.0006379415</v>
      </c>
      <c r="R66" s="84">
        <f t="shared" si="21"/>
        <v>1916070.2705773476</v>
      </c>
      <c r="S66" s="84">
        <f t="shared" si="22"/>
        <v>425639.72878471087</v>
      </c>
      <c r="T66" s="126">
        <v>0</v>
      </c>
    </row>
    <row r="67" spans="1:20" ht="31.5">
      <c r="A67" s="118">
        <f t="shared" si="23"/>
        <v>53</v>
      </c>
      <c r="B67" s="133" t="s">
        <v>112</v>
      </c>
      <c r="C67" s="33">
        <v>60</v>
      </c>
      <c r="D67" s="134">
        <v>38125</v>
      </c>
      <c r="E67" s="33" t="s">
        <v>187</v>
      </c>
      <c r="F67" s="33" t="s">
        <v>188</v>
      </c>
      <c r="G67" s="33">
        <v>2</v>
      </c>
      <c r="H67" s="33">
        <v>2</v>
      </c>
      <c r="I67" s="85">
        <v>130</v>
      </c>
      <c r="J67" s="33">
        <v>2</v>
      </c>
      <c r="K67" s="135">
        <v>1</v>
      </c>
      <c r="L67" s="33">
        <v>1</v>
      </c>
      <c r="M67" s="85">
        <v>130</v>
      </c>
      <c r="N67" s="85">
        <v>66.3</v>
      </c>
      <c r="O67" s="85">
        <v>63.7</v>
      </c>
      <c r="P67" s="84">
        <f t="shared" si="19"/>
        <v>4439500</v>
      </c>
      <c r="Q67" s="84">
        <f t="shared" si="20"/>
        <v>2131521.98698205</v>
      </c>
      <c r="R67" s="84">
        <f t="shared" si="21"/>
        <v>1888469.5616001152</v>
      </c>
      <c r="S67" s="84">
        <f t="shared" si="22"/>
        <v>419508.45141783496</v>
      </c>
      <c r="T67" s="126">
        <v>0</v>
      </c>
    </row>
    <row r="68" spans="1:20" ht="31.5">
      <c r="A68" s="118">
        <f t="shared" si="23"/>
        <v>54</v>
      </c>
      <c r="B68" s="133" t="s">
        <v>113</v>
      </c>
      <c r="C68" s="33">
        <v>61</v>
      </c>
      <c r="D68" s="134">
        <v>38125</v>
      </c>
      <c r="E68" s="33" t="s">
        <v>187</v>
      </c>
      <c r="F68" s="33" t="s">
        <v>188</v>
      </c>
      <c r="G68" s="33">
        <v>5</v>
      </c>
      <c r="H68" s="33">
        <v>5</v>
      </c>
      <c r="I68" s="85">
        <v>122.4</v>
      </c>
      <c r="J68" s="33">
        <v>2</v>
      </c>
      <c r="K68" s="135">
        <v>2</v>
      </c>
      <c r="L68" s="71">
        <v>0</v>
      </c>
      <c r="M68" s="85">
        <v>122.4</v>
      </c>
      <c r="N68" s="85">
        <v>122.4</v>
      </c>
      <c r="O68" s="73">
        <v>0</v>
      </c>
      <c r="P68" s="84">
        <f t="shared" si="19"/>
        <v>4179960</v>
      </c>
      <c r="Q68" s="84">
        <f t="shared" si="20"/>
        <v>2006909.932358484</v>
      </c>
      <c r="R68" s="84">
        <f t="shared" si="21"/>
        <v>1778066.7256911853</v>
      </c>
      <c r="S68" s="84">
        <f t="shared" si="22"/>
        <v>394983.3419503309</v>
      </c>
      <c r="T68" s="126">
        <v>0</v>
      </c>
    </row>
    <row r="69" spans="1:20" ht="31.5">
      <c r="A69" s="118">
        <f t="shared" si="23"/>
        <v>55</v>
      </c>
      <c r="B69" s="133" t="s">
        <v>114</v>
      </c>
      <c r="C69" s="33">
        <v>145</v>
      </c>
      <c r="D69" s="134">
        <v>38188</v>
      </c>
      <c r="E69" s="33" t="s">
        <v>187</v>
      </c>
      <c r="F69" s="33" t="s">
        <v>188</v>
      </c>
      <c r="G69" s="33">
        <v>5</v>
      </c>
      <c r="H69" s="33">
        <v>5</v>
      </c>
      <c r="I69" s="85">
        <v>114.2</v>
      </c>
      <c r="J69" s="33">
        <v>4</v>
      </c>
      <c r="K69" s="33">
        <v>4</v>
      </c>
      <c r="L69" s="71">
        <v>0</v>
      </c>
      <c r="M69" s="85">
        <v>114.2</v>
      </c>
      <c r="N69" s="85">
        <v>114.2</v>
      </c>
      <c r="O69" s="73">
        <v>0</v>
      </c>
      <c r="P69" s="84">
        <f t="shared" si="19"/>
        <v>3899930</v>
      </c>
      <c r="Q69" s="84">
        <f t="shared" si="20"/>
        <v>1872460.0839488471</v>
      </c>
      <c r="R69" s="84">
        <f t="shared" si="21"/>
        <v>1658947.876421024</v>
      </c>
      <c r="S69" s="84">
        <f t="shared" si="22"/>
        <v>368522.03963012877</v>
      </c>
      <c r="T69" s="126">
        <v>0</v>
      </c>
    </row>
    <row r="70" spans="1:20" ht="31.5">
      <c r="A70" s="118">
        <f t="shared" si="23"/>
        <v>56</v>
      </c>
      <c r="B70" s="133" t="s">
        <v>115</v>
      </c>
      <c r="C70" s="33">
        <v>205</v>
      </c>
      <c r="D70" s="134">
        <v>38251</v>
      </c>
      <c r="E70" s="33" t="s">
        <v>187</v>
      </c>
      <c r="F70" s="33" t="s">
        <v>188</v>
      </c>
      <c r="G70" s="33">
        <v>9</v>
      </c>
      <c r="H70" s="33">
        <v>9</v>
      </c>
      <c r="I70" s="85">
        <v>119.2</v>
      </c>
      <c r="J70" s="33">
        <v>3</v>
      </c>
      <c r="K70" s="33">
        <v>1</v>
      </c>
      <c r="L70" s="33">
        <v>2</v>
      </c>
      <c r="M70" s="85">
        <v>119.2</v>
      </c>
      <c r="N70" s="85">
        <v>59.6</v>
      </c>
      <c r="O70" s="85">
        <v>59.6</v>
      </c>
      <c r="P70" s="84">
        <f t="shared" si="19"/>
        <v>4070680</v>
      </c>
      <c r="Q70" s="84">
        <f t="shared" si="20"/>
        <v>1954441.698832772</v>
      </c>
      <c r="R70" s="84">
        <f t="shared" si="21"/>
        <v>1731581.3210979516</v>
      </c>
      <c r="S70" s="84">
        <f t="shared" si="22"/>
        <v>384656.98006927664</v>
      </c>
      <c r="T70" s="126">
        <v>0</v>
      </c>
    </row>
    <row r="71" spans="1:20" ht="31.5">
      <c r="A71" s="118">
        <f t="shared" si="23"/>
        <v>57</v>
      </c>
      <c r="B71" s="133" t="s">
        <v>116</v>
      </c>
      <c r="C71" s="33">
        <v>150</v>
      </c>
      <c r="D71" s="134">
        <v>38188</v>
      </c>
      <c r="E71" s="33" t="s">
        <v>187</v>
      </c>
      <c r="F71" s="33" t="s">
        <v>188</v>
      </c>
      <c r="G71" s="33">
        <v>13</v>
      </c>
      <c r="H71" s="33">
        <v>13</v>
      </c>
      <c r="I71" s="85">
        <v>102.9</v>
      </c>
      <c r="J71" s="33">
        <v>4</v>
      </c>
      <c r="K71" s="135">
        <v>1</v>
      </c>
      <c r="L71" s="33">
        <v>3</v>
      </c>
      <c r="M71" s="85">
        <v>102.9</v>
      </c>
      <c r="N71" s="85">
        <v>24.1</v>
      </c>
      <c r="O71" s="85">
        <v>78.8</v>
      </c>
      <c r="P71" s="84">
        <f t="shared" si="19"/>
        <v>3514035</v>
      </c>
      <c r="Q71" s="84">
        <f t="shared" si="20"/>
        <v>1687181.6343111766</v>
      </c>
      <c r="R71" s="84">
        <f t="shared" si="21"/>
        <v>1494796.291451168</v>
      </c>
      <c r="S71" s="84">
        <f t="shared" si="22"/>
        <v>332057.0742376554</v>
      </c>
      <c r="T71" s="84">
        <v>1266965</v>
      </c>
    </row>
    <row r="72" spans="1:20" ht="31.5">
      <c r="A72" s="118">
        <f t="shared" si="23"/>
        <v>58</v>
      </c>
      <c r="B72" s="133" t="s">
        <v>117</v>
      </c>
      <c r="C72" s="33">
        <v>164</v>
      </c>
      <c r="D72" s="134">
        <v>38217</v>
      </c>
      <c r="E72" s="33" t="s">
        <v>187</v>
      </c>
      <c r="F72" s="33" t="s">
        <v>188</v>
      </c>
      <c r="G72" s="33">
        <v>5</v>
      </c>
      <c r="H72" s="33">
        <v>5</v>
      </c>
      <c r="I72" s="85">
        <v>75.2</v>
      </c>
      <c r="J72" s="33">
        <v>2</v>
      </c>
      <c r="K72" s="33">
        <v>1</v>
      </c>
      <c r="L72" s="33">
        <v>1</v>
      </c>
      <c r="M72" s="85">
        <v>75.2</v>
      </c>
      <c r="N72" s="85">
        <v>40</v>
      </c>
      <c r="O72" s="85">
        <v>35.2</v>
      </c>
      <c r="P72" s="84">
        <f t="shared" si="19"/>
        <v>2568080</v>
      </c>
      <c r="Q72" s="84">
        <f t="shared" si="20"/>
        <v>1233003.487854232</v>
      </c>
      <c r="R72" s="84">
        <f t="shared" si="21"/>
        <v>1092407.0079409897</v>
      </c>
      <c r="S72" s="84">
        <f t="shared" si="22"/>
        <v>242669.50420477823</v>
      </c>
      <c r="T72" s="126">
        <v>0</v>
      </c>
    </row>
    <row r="73" spans="1:20" ht="31.5">
      <c r="A73" s="118">
        <f t="shared" si="23"/>
        <v>59</v>
      </c>
      <c r="B73" s="133" t="s">
        <v>118</v>
      </c>
      <c r="C73" s="33">
        <v>177</v>
      </c>
      <c r="D73" s="134">
        <v>38217</v>
      </c>
      <c r="E73" s="33" t="s">
        <v>187</v>
      </c>
      <c r="F73" s="33" t="s">
        <v>188</v>
      </c>
      <c r="G73" s="33">
        <v>15</v>
      </c>
      <c r="H73" s="33">
        <v>15</v>
      </c>
      <c r="I73" s="85">
        <v>171.8</v>
      </c>
      <c r="J73" s="33">
        <v>6</v>
      </c>
      <c r="K73" s="33">
        <v>3</v>
      </c>
      <c r="L73" s="33">
        <v>3</v>
      </c>
      <c r="M73" s="85">
        <v>171.8</v>
      </c>
      <c r="N73" s="85">
        <v>91.6</v>
      </c>
      <c r="O73" s="85">
        <v>80.2</v>
      </c>
      <c r="P73" s="84">
        <f t="shared" si="19"/>
        <v>5866970</v>
      </c>
      <c r="Q73" s="84">
        <f t="shared" si="20"/>
        <v>2816888.287411663</v>
      </c>
      <c r="R73" s="84">
        <f t="shared" si="21"/>
        <v>2495685.159099229</v>
      </c>
      <c r="S73" s="84">
        <f t="shared" si="22"/>
        <v>554396.5534891076</v>
      </c>
      <c r="T73" s="126">
        <v>0</v>
      </c>
    </row>
    <row r="74" spans="1:20" ht="31.5">
      <c r="A74" s="118">
        <f t="shared" si="23"/>
        <v>60</v>
      </c>
      <c r="B74" s="133" t="s">
        <v>106</v>
      </c>
      <c r="C74" s="33">
        <v>77</v>
      </c>
      <c r="D74" s="134">
        <v>38154</v>
      </c>
      <c r="E74" s="33" t="s">
        <v>187</v>
      </c>
      <c r="F74" s="33" t="s">
        <v>188</v>
      </c>
      <c r="G74" s="33">
        <v>9</v>
      </c>
      <c r="H74" s="33">
        <v>9</v>
      </c>
      <c r="I74" s="85">
        <v>111.3</v>
      </c>
      <c r="J74" s="33">
        <v>2</v>
      </c>
      <c r="K74" s="71">
        <v>0</v>
      </c>
      <c r="L74" s="33">
        <v>2</v>
      </c>
      <c r="M74" s="85">
        <v>111.3</v>
      </c>
      <c r="N74" s="73">
        <v>0</v>
      </c>
      <c r="O74" s="85">
        <v>111.3</v>
      </c>
      <c r="P74" s="84">
        <f t="shared" si="19"/>
        <v>3800895</v>
      </c>
      <c r="Q74" s="84">
        <f t="shared" si="20"/>
        <v>1824910.7473161705</v>
      </c>
      <c r="R74" s="84">
        <f t="shared" si="21"/>
        <v>1616820.4785084063</v>
      </c>
      <c r="S74" s="84">
        <f t="shared" si="22"/>
        <v>359163.7741754232</v>
      </c>
      <c r="T74" s="126">
        <v>0</v>
      </c>
    </row>
    <row r="75" spans="1:20" ht="31.5">
      <c r="A75" s="118">
        <f t="shared" si="23"/>
        <v>61</v>
      </c>
      <c r="B75" s="133" t="s">
        <v>107</v>
      </c>
      <c r="C75" s="33">
        <v>81</v>
      </c>
      <c r="D75" s="134">
        <v>38154</v>
      </c>
      <c r="E75" s="33" t="s">
        <v>187</v>
      </c>
      <c r="F75" s="33" t="s">
        <v>188</v>
      </c>
      <c r="G75" s="33">
        <v>3</v>
      </c>
      <c r="H75" s="33">
        <v>3</v>
      </c>
      <c r="I75" s="85">
        <v>85</v>
      </c>
      <c r="J75" s="33">
        <v>2</v>
      </c>
      <c r="K75" s="135">
        <v>2</v>
      </c>
      <c r="L75" s="71">
        <v>0</v>
      </c>
      <c r="M75" s="85">
        <v>85</v>
      </c>
      <c r="N75" s="85">
        <v>85</v>
      </c>
      <c r="O75" s="73">
        <v>0</v>
      </c>
      <c r="P75" s="84">
        <f t="shared" si="19"/>
        <v>2902750</v>
      </c>
      <c r="Q75" s="84">
        <f t="shared" si="20"/>
        <v>1393687.453026725</v>
      </c>
      <c r="R75" s="84">
        <f t="shared" si="21"/>
        <v>1234768.5595077674</v>
      </c>
      <c r="S75" s="84">
        <f t="shared" si="22"/>
        <v>274293.9874655076</v>
      </c>
      <c r="T75" s="126">
        <v>0</v>
      </c>
    </row>
    <row r="76" spans="1:20" ht="31.5">
      <c r="A76" s="118">
        <f t="shared" si="23"/>
        <v>62</v>
      </c>
      <c r="B76" s="133" t="s">
        <v>108</v>
      </c>
      <c r="C76" s="33">
        <v>82</v>
      </c>
      <c r="D76" s="134">
        <v>38154</v>
      </c>
      <c r="E76" s="33" t="s">
        <v>187</v>
      </c>
      <c r="F76" s="33" t="s">
        <v>188</v>
      </c>
      <c r="G76" s="33">
        <v>4</v>
      </c>
      <c r="H76" s="33">
        <v>4</v>
      </c>
      <c r="I76" s="85">
        <v>126.4</v>
      </c>
      <c r="J76" s="33">
        <v>2</v>
      </c>
      <c r="K76" s="135">
        <v>1</v>
      </c>
      <c r="L76" s="33">
        <v>1</v>
      </c>
      <c r="M76" s="85">
        <v>126.4</v>
      </c>
      <c r="N76" s="85">
        <v>64.3</v>
      </c>
      <c r="O76" s="85">
        <v>62.1</v>
      </c>
      <c r="P76" s="84">
        <f t="shared" si="19"/>
        <v>4316560</v>
      </c>
      <c r="Q76" s="84">
        <f t="shared" si="20"/>
        <v>2072495.224265624</v>
      </c>
      <c r="R76" s="84">
        <f t="shared" si="21"/>
        <v>1836173.4814327273</v>
      </c>
      <c r="S76" s="84">
        <f t="shared" si="22"/>
        <v>407891.29430164886</v>
      </c>
      <c r="T76" s="126">
        <v>0</v>
      </c>
    </row>
    <row r="77" spans="1:20" ht="31.5">
      <c r="A77" s="118">
        <f t="shared" si="23"/>
        <v>63</v>
      </c>
      <c r="B77" s="133" t="s">
        <v>119</v>
      </c>
      <c r="C77" s="33">
        <v>83</v>
      </c>
      <c r="D77" s="134">
        <v>38154</v>
      </c>
      <c r="E77" s="33" t="s">
        <v>187</v>
      </c>
      <c r="F77" s="33" t="s">
        <v>188</v>
      </c>
      <c r="G77" s="33">
        <v>4</v>
      </c>
      <c r="H77" s="33">
        <v>4</v>
      </c>
      <c r="I77" s="85">
        <v>86.6</v>
      </c>
      <c r="J77" s="33">
        <v>2</v>
      </c>
      <c r="K77" s="71">
        <v>0</v>
      </c>
      <c r="L77" s="33">
        <v>2</v>
      </c>
      <c r="M77" s="85">
        <v>86.6</v>
      </c>
      <c r="N77" s="73">
        <v>0</v>
      </c>
      <c r="O77" s="85">
        <v>86.6</v>
      </c>
      <c r="P77" s="84">
        <f t="shared" si="19"/>
        <v>2957390</v>
      </c>
      <c r="Q77" s="84">
        <f t="shared" si="20"/>
        <v>1419921.569789581</v>
      </c>
      <c r="R77" s="84">
        <f t="shared" si="21"/>
        <v>1258011.2618043844</v>
      </c>
      <c r="S77" s="84">
        <f t="shared" si="22"/>
        <v>279457.1684060346</v>
      </c>
      <c r="T77" s="126">
        <v>0</v>
      </c>
    </row>
    <row r="78" spans="1:20" ht="31.5">
      <c r="A78" s="118">
        <f t="shared" si="23"/>
        <v>64</v>
      </c>
      <c r="B78" s="133" t="s">
        <v>120</v>
      </c>
      <c r="C78" s="33">
        <v>85</v>
      </c>
      <c r="D78" s="134">
        <v>38154</v>
      </c>
      <c r="E78" s="33" t="s">
        <v>187</v>
      </c>
      <c r="F78" s="33" t="s">
        <v>188</v>
      </c>
      <c r="G78" s="33">
        <v>10</v>
      </c>
      <c r="H78" s="33">
        <v>10</v>
      </c>
      <c r="I78" s="85">
        <v>127.3</v>
      </c>
      <c r="J78" s="33">
        <v>2</v>
      </c>
      <c r="K78" s="135">
        <v>1</v>
      </c>
      <c r="L78" s="33">
        <v>1</v>
      </c>
      <c r="M78" s="85">
        <v>127.3</v>
      </c>
      <c r="N78" s="85">
        <v>64</v>
      </c>
      <c r="O78" s="85">
        <v>63.3</v>
      </c>
      <c r="P78" s="84">
        <f t="shared" si="19"/>
        <v>4347295</v>
      </c>
      <c r="Q78" s="84">
        <f t="shared" si="20"/>
        <v>2087251.9149447305</v>
      </c>
      <c r="R78" s="84">
        <f t="shared" si="21"/>
        <v>1849247.5014745742</v>
      </c>
      <c r="S78" s="84">
        <f t="shared" si="22"/>
        <v>410795.5835806951</v>
      </c>
      <c r="T78" s="126">
        <v>0</v>
      </c>
    </row>
    <row r="79" spans="1:20" ht="31.5">
      <c r="A79" s="118">
        <f t="shared" si="23"/>
        <v>65</v>
      </c>
      <c r="B79" s="133" t="s">
        <v>121</v>
      </c>
      <c r="C79" s="33">
        <v>86</v>
      </c>
      <c r="D79" s="134">
        <v>38154</v>
      </c>
      <c r="E79" s="33" t="s">
        <v>187</v>
      </c>
      <c r="F79" s="33" t="s">
        <v>188</v>
      </c>
      <c r="G79" s="33">
        <v>7</v>
      </c>
      <c r="H79" s="33">
        <v>7</v>
      </c>
      <c r="I79" s="85">
        <v>128.3</v>
      </c>
      <c r="J79" s="33">
        <v>2</v>
      </c>
      <c r="K79" s="71">
        <v>0</v>
      </c>
      <c r="L79" s="33">
        <v>2</v>
      </c>
      <c r="M79" s="85">
        <v>128.3</v>
      </c>
      <c r="N79" s="73">
        <v>0</v>
      </c>
      <c r="O79" s="85">
        <v>128.3</v>
      </c>
      <c r="P79" s="84">
        <f t="shared" si="19"/>
        <v>4381445</v>
      </c>
      <c r="Q79" s="84">
        <f t="shared" si="20"/>
        <v>2103648.2379215155</v>
      </c>
      <c r="R79" s="84">
        <f t="shared" si="21"/>
        <v>1863774.1904099598</v>
      </c>
      <c r="S79" s="84">
        <f t="shared" si="22"/>
        <v>414022.57166852476</v>
      </c>
      <c r="T79" s="126">
        <v>0</v>
      </c>
    </row>
    <row r="80" spans="1:20" ht="31.5">
      <c r="A80" s="118">
        <f t="shared" si="23"/>
        <v>66</v>
      </c>
      <c r="B80" s="133" t="s">
        <v>122</v>
      </c>
      <c r="C80" s="33">
        <v>192</v>
      </c>
      <c r="D80" s="134">
        <v>38251</v>
      </c>
      <c r="E80" s="33" t="s">
        <v>187</v>
      </c>
      <c r="F80" s="33" t="s">
        <v>188</v>
      </c>
      <c r="G80" s="33">
        <v>4</v>
      </c>
      <c r="H80" s="33">
        <v>4</v>
      </c>
      <c r="I80" s="85">
        <v>34.6</v>
      </c>
      <c r="J80" s="33">
        <v>1</v>
      </c>
      <c r="K80" s="71">
        <v>0</v>
      </c>
      <c r="L80" s="33">
        <v>1</v>
      </c>
      <c r="M80" s="85">
        <v>34.6</v>
      </c>
      <c r="N80" s="73">
        <v>0</v>
      </c>
      <c r="O80" s="85">
        <v>34.6</v>
      </c>
      <c r="P80" s="84">
        <f t="shared" si="19"/>
        <v>1181590</v>
      </c>
      <c r="Q80" s="84">
        <f t="shared" si="20"/>
        <v>567312.774996761</v>
      </c>
      <c r="R80" s="84">
        <f t="shared" si="21"/>
        <v>502623.4371643383</v>
      </c>
      <c r="S80" s="84">
        <f t="shared" si="22"/>
        <v>111653.7878389007</v>
      </c>
      <c r="T80" s="126">
        <v>0</v>
      </c>
    </row>
    <row r="81" spans="1:20" ht="31.5">
      <c r="A81" s="118">
        <f t="shared" si="23"/>
        <v>67</v>
      </c>
      <c r="B81" s="133" t="s">
        <v>123</v>
      </c>
      <c r="C81" s="33">
        <v>193</v>
      </c>
      <c r="D81" s="134">
        <v>38251</v>
      </c>
      <c r="E81" s="33" t="s">
        <v>187</v>
      </c>
      <c r="F81" s="33" t="s">
        <v>188</v>
      </c>
      <c r="G81" s="33">
        <v>14</v>
      </c>
      <c r="H81" s="33">
        <v>14</v>
      </c>
      <c r="I81" s="85">
        <v>140.7</v>
      </c>
      <c r="J81" s="33">
        <v>4</v>
      </c>
      <c r="K81" s="33">
        <v>3</v>
      </c>
      <c r="L81" s="33">
        <v>1</v>
      </c>
      <c r="M81" s="85">
        <v>140.7</v>
      </c>
      <c r="N81" s="85">
        <v>118.1</v>
      </c>
      <c r="O81" s="85">
        <v>22.6</v>
      </c>
      <c r="P81" s="84">
        <f t="shared" si="19"/>
        <v>4804905</v>
      </c>
      <c r="Q81" s="84">
        <f t="shared" si="20"/>
        <v>2306962.6428336496</v>
      </c>
      <c r="R81" s="84">
        <f t="shared" si="21"/>
        <v>2043905.13320874</v>
      </c>
      <c r="S81" s="84">
        <f t="shared" si="22"/>
        <v>454037.2239576103</v>
      </c>
      <c r="T81" s="84">
        <v>252710</v>
      </c>
    </row>
    <row r="82" spans="1:20" ht="31.5">
      <c r="A82" s="118">
        <f t="shared" si="23"/>
        <v>68</v>
      </c>
      <c r="B82" s="133" t="s">
        <v>124</v>
      </c>
      <c r="C82" s="33">
        <v>223</v>
      </c>
      <c r="D82" s="134">
        <v>38251</v>
      </c>
      <c r="E82" s="33" t="s">
        <v>187</v>
      </c>
      <c r="F82" s="33" t="s">
        <v>188</v>
      </c>
      <c r="G82" s="33">
        <v>9</v>
      </c>
      <c r="H82" s="33">
        <v>9</v>
      </c>
      <c r="I82" s="85">
        <v>164</v>
      </c>
      <c r="J82" s="33">
        <v>5</v>
      </c>
      <c r="K82" s="33">
        <v>1</v>
      </c>
      <c r="L82" s="33">
        <v>4</v>
      </c>
      <c r="M82" s="85">
        <v>164</v>
      </c>
      <c r="N82" s="85">
        <v>47.1</v>
      </c>
      <c r="O82" s="85">
        <v>116.9</v>
      </c>
      <c r="P82" s="84">
        <f t="shared" si="19"/>
        <v>5600600</v>
      </c>
      <c r="Q82" s="84">
        <f t="shared" si="20"/>
        <v>2688996.96819274</v>
      </c>
      <c r="R82" s="84">
        <f t="shared" si="21"/>
        <v>2382376.985403222</v>
      </c>
      <c r="S82" s="84">
        <f t="shared" si="22"/>
        <v>529226.0464040381</v>
      </c>
      <c r="T82" s="126">
        <v>0</v>
      </c>
    </row>
    <row r="83" spans="1:20" ht="31.5">
      <c r="A83" s="118">
        <f t="shared" si="23"/>
        <v>69</v>
      </c>
      <c r="B83" s="133" t="s">
        <v>125</v>
      </c>
      <c r="C83" s="33">
        <v>38</v>
      </c>
      <c r="D83" s="134">
        <v>38097</v>
      </c>
      <c r="E83" s="33" t="s">
        <v>187</v>
      </c>
      <c r="F83" s="33" t="s">
        <v>188</v>
      </c>
      <c r="G83" s="33">
        <v>9</v>
      </c>
      <c r="H83" s="33">
        <v>9</v>
      </c>
      <c r="I83" s="85">
        <v>121.1</v>
      </c>
      <c r="J83" s="33">
        <v>3</v>
      </c>
      <c r="K83" s="33">
        <v>2</v>
      </c>
      <c r="L83" s="33">
        <v>1</v>
      </c>
      <c r="M83" s="85">
        <v>121.1</v>
      </c>
      <c r="N83" s="85">
        <v>77.5</v>
      </c>
      <c r="O83" s="85">
        <v>43.6</v>
      </c>
      <c r="P83" s="84">
        <f t="shared" si="19"/>
        <v>4135565</v>
      </c>
      <c r="Q83" s="84">
        <f t="shared" si="20"/>
        <v>1985594.7124886636</v>
      </c>
      <c r="R83" s="84">
        <f t="shared" si="21"/>
        <v>1759182.030075184</v>
      </c>
      <c r="S83" s="84">
        <f t="shared" si="22"/>
        <v>390788.25743615255</v>
      </c>
      <c r="T83" s="126">
        <v>0</v>
      </c>
    </row>
    <row r="84" spans="1:20" ht="31.5">
      <c r="A84" s="118">
        <f t="shared" si="23"/>
        <v>70</v>
      </c>
      <c r="B84" s="133" t="s">
        <v>126</v>
      </c>
      <c r="C84" s="33">
        <v>262</v>
      </c>
      <c r="D84" s="134">
        <v>40288</v>
      </c>
      <c r="E84" s="33" t="s">
        <v>187</v>
      </c>
      <c r="F84" s="33" t="s">
        <v>188</v>
      </c>
      <c r="G84" s="33">
        <v>42</v>
      </c>
      <c r="H84" s="33">
        <v>42</v>
      </c>
      <c r="I84" s="85">
        <v>413.56</v>
      </c>
      <c r="J84" s="33">
        <v>14</v>
      </c>
      <c r="K84" s="33">
        <v>9</v>
      </c>
      <c r="L84" s="33">
        <v>5</v>
      </c>
      <c r="M84" s="85">
        <v>413.56</v>
      </c>
      <c r="N84" s="85">
        <v>285.76</v>
      </c>
      <c r="O84" s="85">
        <v>127.8</v>
      </c>
      <c r="P84" s="84">
        <f t="shared" si="19"/>
        <v>14123074</v>
      </c>
      <c r="Q84" s="84">
        <f t="shared" si="20"/>
        <v>6780863.330279205</v>
      </c>
      <c r="R84" s="84">
        <f t="shared" si="21"/>
        <v>6007657.476118027</v>
      </c>
      <c r="S84" s="84">
        <f t="shared" si="22"/>
        <v>1334553.1936027678</v>
      </c>
      <c r="T84" s="126">
        <v>0</v>
      </c>
    </row>
    <row r="85" spans="1:20" ht="31.5">
      <c r="A85" s="118">
        <f t="shared" si="23"/>
        <v>71</v>
      </c>
      <c r="B85" s="133" t="s">
        <v>127</v>
      </c>
      <c r="C85" s="33">
        <v>233</v>
      </c>
      <c r="D85" s="134">
        <v>38279</v>
      </c>
      <c r="E85" s="33" t="s">
        <v>187</v>
      </c>
      <c r="F85" s="33" t="s">
        <v>188</v>
      </c>
      <c r="G85" s="33">
        <v>10</v>
      </c>
      <c r="H85" s="33">
        <v>10</v>
      </c>
      <c r="I85" s="85">
        <v>169.1</v>
      </c>
      <c r="J85" s="33">
        <v>4</v>
      </c>
      <c r="K85" s="135">
        <v>4</v>
      </c>
      <c r="L85" s="71">
        <v>0</v>
      </c>
      <c r="M85" s="85">
        <v>169.1</v>
      </c>
      <c r="N85" s="85">
        <v>169.1</v>
      </c>
      <c r="O85" s="73">
        <v>0</v>
      </c>
      <c r="P85" s="84">
        <f t="shared" si="19"/>
        <v>5774765</v>
      </c>
      <c r="Q85" s="84">
        <f t="shared" si="20"/>
        <v>2772618.2153743436</v>
      </c>
      <c r="R85" s="84">
        <f t="shared" si="21"/>
        <v>2456463.098973688</v>
      </c>
      <c r="S85" s="84">
        <f t="shared" si="22"/>
        <v>545683.6856519682</v>
      </c>
      <c r="T85" s="126">
        <v>0</v>
      </c>
    </row>
    <row r="86" spans="1:20" ht="15.75">
      <c r="A86" s="148" t="s">
        <v>128</v>
      </c>
      <c r="B86" s="148"/>
      <c r="C86" s="58"/>
      <c r="D86" s="58"/>
      <c r="E86" s="58"/>
      <c r="F86" s="58"/>
      <c r="G86" s="58">
        <f aca="true" t="shared" si="24" ref="G86:S86">G87</f>
        <v>66</v>
      </c>
      <c r="H86" s="58">
        <f t="shared" si="24"/>
        <v>66</v>
      </c>
      <c r="I86" s="59">
        <f t="shared" si="24"/>
        <v>1096.32</v>
      </c>
      <c r="J86" s="58">
        <f t="shared" si="24"/>
        <v>43</v>
      </c>
      <c r="K86" s="58">
        <f t="shared" si="24"/>
        <v>21</v>
      </c>
      <c r="L86" s="58">
        <f t="shared" si="24"/>
        <v>22</v>
      </c>
      <c r="M86" s="59">
        <f t="shared" si="24"/>
        <v>1096.3200000000002</v>
      </c>
      <c r="N86" s="59">
        <f t="shared" si="24"/>
        <v>579.22</v>
      </c>
      <c r="O86" s="59">
        <f t="shared" si="24"/>
        <v>517.1</v>
      </c>
      <c r="P86" s="65">
        <f>P87</f>
        <v>37439328</v>
      </c>
      <c r="Q86" s="65">
        <f t="shared" si="24"/>
        <v>17866300</v>
      </c>
      <c r="R86" s="65">
        <f t="shared" si="24"/>
        <v>15829100</v>
      </c>
      <c r="S86" s="65">
        <f t="shared" si="24"/>
        <v>3743928</v>
      </c>
      <c r="T86" s="65">
        <f>T87+T211</f>
        <v>0</v>
      </c>
    </row>
    <row r="87" spans="1:20" ht="31.5">
      <c r="A87" s="43">
        <v>72</v>
      </c>
      <c r="B87" s="47" t="s">
        <v>129</v>
      </c>
      <c r="C87" s="71">
        <v>5</v>
      </c>
      <c r="D87" s="72">
        <v>40527</v>
      </c>
      <c r="E87" s="130" t="s">
        <v>186</v>
      </c>
      <c r="F87" s="130" t="s">
        <v>625</v>
      </c>
      <c r="G87" s="58">
        <v>66</v>
      </c>
      <c r="H87" s="58">
        <v>66</v>
      </c>
      <c r="I87" s="73">
        <v>1096.32</v>
      </c>
      <c r="J87" s="58">
        <v>43</v>
      </c>
      <c r="K87" s="71">
        <v>21</v>
      </c>
      <c r="L87" s="71">
        <v>22</v>
      </c>
      <c r="M87" s="59">
        <f>N87+O87</f>
        <v>1096.3200000000002</v>
      </c>
      <c r="N87" s="73">
        <v>579.22</v>
      </c>
      <c r="O87" s="73">
        <v>517.1</v>
      </c>
      <c r="P87" s="65">
        <f>Q87+R87+S87</f>
        <v>37439328</v>
      </c>
      <c r="Q87" s="65">
        <v>17866300</v>
      </c>
      <c r="R87" s="65">
        <v>15829100</v>
      </c>
      <c r="S87" s="65">
        <v>3743928</v>
      </c>
      <c r="T87" s="65">
        <v>0</v>
      </c>
    </row>
    <row r="88" spans="1:20" ht="15.75">
      <c r="A88" s="158" t="s">
        <v>130</v>
      </c>
      <c r="B88" s="158"/>
      <c r="C88" s="74"/>
      <c r="D88" s="74"/>
      <c r="E88" s="74"/>
      <c r="F88" s="74"/>
      <c r="G88" s="81">
        <f>G89+G90+G91+G92+G93+G94+G95+G96+G97+G98</f>
        <v>331</v>
      </c>
      <c r="H88" s="81">
        <f aca="true" t="shared" si="25" ref="H88:T88">H89+H90+H91+H92+H93+H94+H95+H96+H97+H98</f>
        <v>331</v>
      </c>
      <c r="I88" s="82">
        <f t="shared" si="25"/>
        <v>3339.7599999999998</v>
      </c>
      <c r="J88" s="81">
        <f>J89+J90+J91+J92+J93+J94+J95+J96+J97+J98</f>
        <v>108</v>
      </c>
      <c r="K88" s="81">
        <f t="shared" si="25"/>
        <v>8</v>
      </c>
      <c r="L88" s="81">
        <f t="shared" si="25"/>
        <v>100</v>
      </c>
      <c r="M88" s="82">
        <f>M89+M90+M91+M92+M93+M94+M95+M96+M97+M98</f>
        <v>2983.6600000000003</v>
      </c>
      <c r="N88" s="82">
        <f t="shared" si="25"/>
        <v>321.29999999999995</v>
      </c>
      <c r="O88" s="82">
        <f t="shared" si="25"/>
        <v>2662.36</v>
      </c>
      <c r="P88" s="84">
        <f>P89+P90+P91+P92+P93+P94+P95+P96+P97+P98</f>
        <v>101891989</v>
      </c>
      <c r="Q88" s="84">
        <f t="shared" si="25"/>
        <v>56894100.0050574</v>
      </c>
      <c r="R88" s="84">
        <f t="shared" si="25"/>
        <v>26561999.990034208</v>
      </c>
      <c r="S88" s="84">
        <f t="shared" si="25"/>
        <v>18435889.004908394</v>
      </c>
      <c r="T88" s="84">
        <f t="shared" si="25"/>
        <v>0</v>
      </c>
    </row>
    <row r="89" spans="1:20" ht="31.5">
      <c r="A89" s="45">
        <v>73</v>
      </c>
      <c r="B89" s="91" t="s">
        <v>131</v>
      </c>
      <c r="C89" s="74" t="s">
        <v>583</v>
      </c>
      <c r="D89" s="79">
        <v>38039</v>
      </c>
      <c r="E89" s="130" t="s">
        <v>186</v>
      </c>
      <c r="F89" s="130" t="s">
        <v>625</v>
      </c>
      <c r="G89" s="81">
        <v>29</v>
      </c>
      <c r="H89" s="81">
        <f>G89</f>
        <v>29</v>
      </c>
      <c r="I89" s="82">
        <v>356.4</v>
      </c>
      <c r="J89" s="81">
        <f>K89+L89</f>
        <v>12</v>
      </c>
      <c r="K89" s="81">
        <v>0</v>
      </c>
      <c r="L89" s="81">
        <v>12</v>
      </c>
      <c r="M89" s="82">
        <f>N89+O89</f>
        <v>302.2</v>
      </c>
      <c r="N89" s="82">
        <v>0</v>
      </c>
      <c r="O89" s="82">
        <v>302.2</v>
      </c>
      <c r="P89" s="81">
        <f>M89*34150</f>
        <v>10320130</v>
      </c>
      <c r="Q89" s="81">
        <f>M89*34150*55.83766%</f>
        <v>5762519.100958</v>
      </c>
      <c r="R89" s="81">
        <f>M89*34150*26.06878%</f>
        <v>2690331.985414</v>
      </c>
      <c r="S89" s="81">
        <f>P89-Q89-R89</f>
        <v>1867278.9136279998</v>
      </c>
      <c r="T89" s="126">
        <v>0</v>
      </c>
    </row>
    <row r="90" spans="1:20" ht="31.5">
      <c r="A90" s="45">
        <f>A89+1</f>
        <v>74</v>
      </c>
      <c r="B90" s="91" t="s">
        <v>132</v>
      </c>
      <c r="C90" s="74" t="s">
        <v>583</v>
      </c>
      <c r="D90" s="79">
        <v>38039</v>
      </c>
      <c r="E90" s="130" t="s">
        <v>186</v>
      </c>
      <c r="F90" s="130" t="s">
        <v>625</v>
      </c>
      <c r="G90" s="81">
        <v>35</v>
      </c>
      <c r="H90" s="81">
        <f aca="true" t="shared" si="26" ref="H90:H98">G90</f>
        <v>35</v>
      </c>
      <c r="I90" s="82">
        <v>357.7</v>
      </c>
      <c r="J90" s="81">
        <f aca="true" t="shared" si="27" ref="J90:J98">K90+L90</f>
        <v>11</v>
      </c>
      <c r="K90" s="81">
        <v>0</v>
      </c>
      <c r="L90" s="81">
        <v>11</v>
      </c>
      <c r="M90" s="82">
        <f aca="true" t="shared" si="28" ref="M90:M98">N90+O90</f>
        <v>337.1</v>
      </c>
      <c r="N90" s="82">
        <v>0</v>
      </c>
      <c r="O90" s="82">
        <v>337.1</v>
      </c>
      <c r="P90" s="81">
        <f aca="true" t="shared" si="29" ref="P90:P98">M90*34150</f>
        <v>11511965</v>
      </c>
      <c r="Q90" s="81">
        <f aca="true" t="shared" si="30" ref="Q90:Q97">M90*34150*55.83766%</f>
        <v>6428011.876019</v>
      </c>
      <c r="R90" s="81">
        <f aca="true" t="shared" si="31" ref="R90:R97">M90*34150*26.06878%</f>
        <v>3001028.8295270004</v>
      </c>
      <c r="S90" s="81">
        <f aca="true" t="shared" si="32" ref="S90:S98">P90-Q90-R90</f>
        <v>2082924.2944539995</v>
      </c>
      <c r="T90" s="126">
        <v>0</v>
      </c>
    </row>
    <row r="91" spans="1:20" ht="31.5">
      <c r="A91" s="45">
        <f aca="true" t="shared" si="33" ref="A91:A98">A90+1</f>
        <v>75</v>
      </c>
      <c r="B91" s="91" t="s">
        <v>133</v>
      </c>
      <c r="C91" s="74" t="s">
        <v>583</v>
      </c>
      <c r="D91" s="79">
        <v>38039</v>
      </c>
      <c r="E91" s="130" t="s">
        <v>186</v>
      </c>
      <c r="F91" s="130" t="s">
        <v>625</v>
      </c>
      <c r="G91" s="81">
        <v>38</v>
      </c>
      <c r="H91" s="81">
        <f t="shared" si="26"/>
        <v>38</v>
      </c>
      <c r="I91" s="82">
        <v>356</v>
      </c>
      <c r="J91" s="81">
        <f t="shared" si="27"/>
        <v>12</v>
      </c>
      <c r="K91" s="81">
        <v>0</v>
      </c>
      <c r="L91" s="81">
        <v>12</v>
      </c>
      <c r="M91" s="82">
        <f t="shared" si="28"/>
        <v>320.7</v>
      </c>
      <c r="N91" s="82">
        <v>0</v>
      </c>
      <c r="O91" s="82">
        <v>320.7</v>
      </c>
      <c r="P91" s="81">
        <f t="shared" si="29"/>
        <v>10951905</v>
      </c>
      <c r="Q91" s="81">
        <f t="shared" si="30"/>
        <v>6115287.477423</v>
      </c>
      <c r="R91" s="81">
        <f t="shared" si="31"/>
        <v>2855028.0202590004</v>
      </c>
      <c r="S91" s="81">
        <f t="shared" si="32"/>
        <v>1981589.5023179995</v>
      </c>
      <c r="T91" s="126">
        <v>0</v>
      </c>
    </row>
    <row r="92" spans="1:20" ht="31.5">
      <c r="A92" s="45">
        <f t="shared" si="33"/>
        <v>76</v>
      </c>
      <c r="B92" s="91" t="s">
        <v>134</v>
      </c>
      <c r="C92" s="74" t="s">
        <v>583</v>
      </c>
      <c r="D92" s="79">
        <v>38039</v>
      </c>
      <c r="E92" s="130" t="s">
        <v>186</v>
      </c>
      <c r="F92" s="130" t="s">
        <v>625</v>
      </c>
      <c r="G92" s="81">
        <v>42</v>
      </c>
      <c r="H92" s="81">
        <f t="shared" si="26"/>
        <v>42</v>
      </c>
      <c r="I92" s="82">
        <v>360.7</v>
      </c>
      <c r="J92" s="81">
        <f t="shared" si="27"/>
        <v>11</v>
      </c>
      <c r="K92" s="81">
        <v>0</v>
      </c>
      <c r="L92" s="81">
        <f>13-2</f>
        <v>11</v>
      </c>
      <c r="M92" s="82">
        <f t="shared" si="28"/>
        <v>305.2</v>
      </c>
      <c r="N92" s="82">
        <v>0</v>
      </c>
      <c r="O92" s="82">
        <f>360.7-20.2-35.3</f>
        <v>305.2</v>
      </c>
      <c r="P92" s="81">
        <f t="shared" si="29"/>
        <v>10422580</v>
      </c>
      <c r="Q92" s="81">
        <f t="shared" si="30"/>
        <v>5819724.783628</v>
      </c>
      <c r="R92" s="81">
        <f t="shared" si="31"/>
        <v>2717039.4505240005</v>
      </c>
      <c r="S92" s="81">
        <f t="shared" si="32"/>
        <v>1885815.7658479996</v>
      </c>
      <c r="T92" s="126">
        <v>0</v>
      </c>
    </row>
    <row r="93" spans="1:20" ht="31.5">
      <c r="A93" s="45">
        <f t="shared" si="33"/>
        <v>77</v>
      </c>
      <c r="B93" s="91" t="s">
        <v>135</v>
      </c>
      <c r="C93" s="74" t="s">
        <v>583</v>
      </c>
      <c r="D93" s="79">
        <v>38042</v>
      </c>
      <c r="E93" s="130" t="s">
        <v>186</v>
      </c>
      <c r="F93" s="130" t="s">
        <v>625</v>
      </c>
      <c r="G93" s="81">
        <v>34</v>
      </c>
      <c r="H93" s="81">
        <f t="shared" si="26"/>
        <v>34</v>
      </c>
      <c r="I93" s="82">
        <v>352.96</v>
      </c>
      <c r="J93" s="81">
        <f t="shared" si="27"/>
        <v>10</v>
      </c>
      <c r="K93" s="81">
        <v>3</v>
      </c>
      <c r="L93" s="81">
        <v>7</v>
      </c>
      <c r="M93" s="82">
        <f t="shared" si="28"/>
        <v>352.96</v>
      </c>
      <c r="N93" s="82">
        <v>116.2</v>
      </c>
      <c r="O93" s="82">
        <v>236.76</v>
      </c>
      <c r="P93" s="81">
        <f t="shared" si="29"/>
        <v>12053584</v>
      </c>
      <c r="Q93" s="81">
        <f t="shared" si="30"/>
        <v>6730439.2517344</v>
      </c>
      <c r="R93" s="81">
        <f t="shared" si="31"/>
        <v>3142222.2950752005</v>
      </c>
      <c r="S93" s="81">
        <f t="shared" si="32"/>
        <v>2180922.4531903993</v>
      </c>
      <c r="T93" s="126">
        <v>0</v>
      </c>
    </row>
    <row r="94" spans="1:20" ht="31.5">
      <c r="A94" s="45">
        <f t="shared" si="33"/>
        <v>78</v>
      </c>
      <c r="B94" s="91" t="s">
        <v>136</v>
      </c>
      <c r="C94" s="74" t="s">
        <v>583</v>
      </c>
      <c r="D94" s="79">
        <v>38039</v>
      </c>
      <c r="E94" s="130" t="s">
        <v>186</v>
      </c>
      <c r="F94" s="130" t="s">
        <v>625</v>
      </c>
      <c r="G94" s="81">
        <v>38</v>
      </c>
      <c r="H94" s="81">
        <f t="shared" si="26"/>
        <v>38</v>
      </c>
      <c r="I94" s="82">
        <v>342.6</v>
      </c>
      <c r="J94" s="81">
        <f t="shared" si="27"/>
        <v>14</v>
      </c>
      <c r="K94" s="81">
        <v>2</v>
      </c>
      <c r="L94" s="81">
        <f>13-1</f>
        <v>12</v>
      </c>
      <c r="M94" s="82">
        <f t="shared" si="28"/>
        <v>276.29999999999995</v>
      </c>
      <c r="N94" s="82">
        <v>65</v>
      </c>
      <c r="O94" s="82">
        <f>224.2-12.9</f>
        <v>211.29999999999998</v>
      </c>
      <c r="P94" s="81">
        <f t="shared" si="29"/>
        <v>9435644.999999998</v>
      </c>
      <c r="Q94" s="81">
        <f t="shared" si="30"/>
        <v>5268643.373906999</v>
      </c>
      <c r="R94" s="81">
        <f t="shared" si="31"/>
        <v>2459757.5366309998</v>
      </c>
      <c r="S94" s="81">
        <f t="shared" si="32"/>
        <v>1707244.0894619995</v>
      </c>
      <c r="T94" s="126">
        <v>0</v>
      </c>
    </row>
    <row r="95" spans="1:20" ht="31.5">
      <c r="A95" s="45">
        <f t="shared" si="33"/>
        <v>79</v>
      </c>
      <c r="B95" s="91" t="s">
        <v>137</v>
      </c>
      <c r="C95" s="74" t="s">
        <v>583</v>
      </c>
      <c r="D95" s="79">
        <v>38039</v>
      </c>
      <c r="E95" s="130" t="s">
        <v>186</v>
      </c>
      <c r="F95" s="130" t="s">
        <v>625</v>
      </c>
      <c r="G95" s="81">
        <v>11</v>
      </c>
      <c r="H95" s="81">
        <f t="shared" si="26"/>
        <v>11</v>
      </c>
      <c r="I95" s="82">
        <v>101.6</v>
      </c>
      <c r="J95" s="81">
        <f t="shared" si="27"/>
        <v>4</v>
      </c>
      <c r="K95" s="81">
        <v>0</v>
      </c>
      <c r="L95" s="81">
        <v>4</v>
      </c>
      <c r="M95" s="82">
        <f t="shared" si="28"/>
        <v>101.6</v>
      </c>
      <c r="N95" s="82">
        <v>0</v>
      </c>
      <c r="O95" s="82">
        <v>101.6</v>
      </c>
      <c r="P95" s="81">
        <f t="shared" si="29"/>
        <v>3469640</v>
      </c>
      <c r="Q95" s="81">
        <f t="shared" si="30"/>
        <v>1937365.786424</v>
      </c>
      <c r="R95" s="81">
        <f t="shared" si="31"/>
        <v>904492.818392</v>
      </c>
      <c r="S95" s="81">
        <f t="shared" si="32"/>
        <v>627781.3951839999</v>
      </c>
      <c r="T95" s="126">
        <v>0</v>
      </c>
    </row>
    <row r="96" spans="1:20" ht="31.5">
      <c r="A96" s="45">
        <f t="shared" si="33"/>
        <v>80</v>
      </c>
      <c r="B96" s="91" t="s">
        <v>138</v>
      </c>
      <c r="C96" s="74" t="s">
        <v>583</v>
      </c>
      <c r="D96" s="79">
        <v>38041</v>
      </c>
      <c r="E96" s="130" t="s">
        <v>186</v>
      </c>
      <c r="F96" s="130" t="s">
        <v>625</v>
      </c>
      <c r="G96" s="81">
        <v>33</v>
      </c>
      <c r="H96" s="81">
        <f t="shared" si="26"/>
        <v>33</v>
      </c>
      <c r="I96" s="82">
        <v>393.4</v>
      </c>
      <c r="J96" s="81">
        <f t="shared" si="27"/>
        <v>10</v>
      </c>
      <c r="K96" s="81">
        <v>1</v>
      </c>
      <c r="L96" s="81">
        <v>9</v>
      </c>
      <c r="M96" s="82">
        <f t="shared" si="28"/>
        <v>393.40000000000003</v>
      </c>
      <c r="N96" s="82">
        <v>38.1</v>
      </c>
      <c r="O96" s="82">
        <v>355.3</v>
      </c>
      <c r="P96" s="81">
        <f t="shared" si="29"/>
        <v>13434610.000000002</v>
      </c>
      <c r="Q96" s="81">
        <f t="shared" si="30"/>
        <v>7501571.854126001</v>
      </c>
      <c r="R96" s="81">
        <f t="shared" si="31"/>
        <v>3502238.9247580008</v>
      </c>
      <c r="S96" s="81">
        <f t="shared" si="32"/>
        <v>2430799.2211160003</v>
      </c>
      <c r="T96" s="126">
        <v>0</v>
      </c>
    </row>
    <row r="97" spans="1:20" ht="31.5">
      <c r="A97" s="45">
        <f t="shared" si="33"/>
        <v>81</v>
      </c>
      <c r="B97" s="91" t="s">
        <v>139</v>
      </c>
      <c r="C97" s="74" t="s">
        <v>583</v>
      </c>
      <c r="D97" s="79">
        <v>38041</v>
      </c>
      <c r="E97" s="130" t="s">
        <v>186</v>
      </c>
      <c r="F97" s="130" t="s">
        <v>625</v>
      </c>
      <c r="G97" s="81">
        <v>29</v>
      </c>
      <c r="H97" s="81">
        <v>29</v>
      </c>
      <c r="I97" s="82">
        <v>356.7</v>
      </c>
      <c r="J97" s="81">
        <f t="shared" si="27"/>
        <v>12</v>
      </c>
      <c r="K97" s="81">
        <v>0</v>
      </c>
      <c r="L97" s="81">
        <v>12</v>
      </c>
      <c r="M97" s="82">
        <f t="shared" si="28"/>
        <v>285.79999999999995</v>
      </c>
      <c r="N97" s="82">
        <v>0</v>
      </c>
      <c r="O97" s="82">
        <f>306.9-21.1</f>
        <v>285.79999999999995</v>
      </c>
      <c r="P97" s="81">
        <f t="shared" si="29"/>
        <v>9760069.999999998</v>
      </c>
      <c r="Q97" s="81">
        <f t="shared" si="30"/>
        <v>5449794.702361999</v>
      </c>
      <c r="R97" s="81">
        <f t="shared" si="31"/>
        <v>2544331.1761459997</v>
      </c>
      <c r="S97" s="81">
        <f t="shared" si="32"/>
        <v>1765944.1214919994</v>
      </c>
      <c r="T97" s="126">
        <v>0</v>
      </c>
    </row>
    <row r="98" spans="1:20" ht="31.5">
      <c r="A98" s="45">
        <f t="shared" si="33"/>
        <v>82</v>
      </c>
      <c r="B98" s="91" t="s">
        <v>140</v>
      </c>
      <c r="C98" s="74" t="s">
        <v>583</v>
      </c>
      <c r="D98" s="79">
        <v>38041</v>
      </c>
      <c r="E98" s="130" t="s">
        <v>186</v>
      </c>
      <c r="F98" s="130" t="s">
        <v>625</v>
      </c>
      <c r="G98" s="81">
        <v>42</v>
      </c>
      <c r="H98" s="81">
        <f t="shared" si="26"/>
        <v>42</v>
      </c>
      <c r="I98" s="82">
        <v>361.7</v>
      </c>
      <c r="J98" s="81">
        <f t="shared" si="27"/>
        <v>12</v>
      </c>
      <c r="K98" s="81">
        <v>2</v>
      </c>
      <c r="L98" s="81">
        <v>10</v>
      </c>
      <c r="M98" s="82">
        <f t="shared" si="28"/>
        <v>308.4</v>
      </c>
      <c r="N98" s="82">
        <v>102</v>
      </c>
      <c r="O98" s="82">
        <v>206.4</v>
      </c>
      <c r="P98" s="81">
        <f t="shared" si="29"/>
        <v>10531860</v>
      </c>
      <c r="Q98" s="81">
        <f>M98*34150*55.83766%-2.38</f>
        <v>5880741.798476</v>
      </c>
      <c r="R98" s="81">
        <f>M98*34150*26.06878%+1.54</f>
        <v>2745528.953308</v>
      </c>
      <c r="S98" s="81">
        <f t="shared" si="32"/>
        <v>1905589.2482159995</v>
      </c>
      <c r="T98" s="126">
        <v>0</v>
      </c>
    </row>
    <row r="99" spans="1:20" ht="15.75">
      <c r="A99" s="149" t="s">
        <v>445</v>
      </c>
      <c r="B99" s="149"/>
      <c r="C99" s="58"/>
      <c r="D99" s="58"/>
      <c r="E99" s="58"/>
      <c r="F99" s="58"/>
      <c r="G99" s="58">
        <f>SUM(G100:G113)</f>
        <v>209</v>
      </c>
      <c r="H99" s="58">
        <f aca="true" t="shared" si="34" ref="H99:P99">SUM(H100:H113)</f>
        <v>209</v>
      </c>
      <c r="I99" s="59">
        <f t="shared" si="34"/>
        <v>2995</v>
      </c>
      <c r="J99" s="58">
        <f>SUM(J100:J113)</f>
        <v>69</v>
      </c>
      <c r="K99" s="58">
        <f t="shared" si="34"/>
        <v>28</v>
      </c>
      <c r="L99" s="58">
        <f t="shared" si="34"/>
        <v>41</v>
      </c>
      <c r="M99" s="59">
        <f>SUM(M100:M113)</f>
        <v>2884.2999999999997</v>
      </c>
      <c r="N99" s="59">
        <f t="shared" si="34"/>
        <v>1046</v>
      </c>
      <c r="O99" s="59">
        <f t="shared" si="34"/>
        <v>1838.3</v>
      </c>
      <c r="P99" s="65">
        <f t="shared" si="34"/>
        <v>98498845</v>
      </c>
      <c r="Q99" s="65">
        <f>SUM(Q100:Q113)</f>
        <v>47002700</v>
      </c>
      <c r="R99" s="65">
        <f>SUM(R100:R113)</f>
        <v>41643100</v>
      </c>
      <c r="S99" s="65">
        <f>SUM(S100:S113)</f>
        <v>9853044.999999993</v>
      </c>
      <c r="T99" s="83">
        <v>0</v>
      </c>
    </row>
    <row r="100" spans="1:20" ht="31.5">
      <c r="A100" s="43">
        <v>83</v>
      </c>
      <c r="B100" s="57" t="s">
        <v>142</v>
      </c>
      <c r="C100" s="71">
        <v>20</v>
      </c>
      <c r="D100" s="72">
        <v>40046</v>
      </c>
      <c r="E100" s="33" t="s">
        <v>187</v>
      </c>
      <c r="F100" s="33" t="s">
        <v>188</v>
      </c>
      <c r="G100" s="58">
        <v>14</v>
      </c>
      <c r="H100" s="58">
        <v>14</v>
      </c>
      <c r="I100" s="59">
        <v>121.7</v>
      </c>
      <c r="J100" s="71">
        <v>4</v>
      </c>
      <c r="K100" s="71">
        <v>1</v>
      </c>
      <c r="L100" s="71">
        <v>3</v>
      </c>
      <c r="M100" s="59">
        <v>121.7</v>
      </c>
      <c r="N100" s="59">
        <v>31.2</v>
      </c>
      <c r="O100" s="73">
        <v>90.5</v>
      </c>
      <c r="P100" s="83">
        <f>M100*34150</f>
        <v>4156055</v>
      </c>
      <c r="Q100" s="83">
        <v>1983298.1728035505</v>
      </c>
      <c r="R100" s="83">
        <v>1757147.6561958254</v>
      </c>
      <c r="S100" s="83">
        <v>415609.1710006241</v>
      </c>
      <c r="T100" s="83">
        <v>0</v>
      </c>
    </row>
    <row r="101" spans="1:20" ht="31.5">
      <c r="A101" s="43">
        <f>A100+1</f>
        <v>84</v>
      </c>
      <c r="B101" s="57" t="s">
        <v>143</v>
      </c>
      <c r="C101" s="71">
        <v>11</v>
      </c>
      <c r="D101" s="72">
        <v>40046</v>
      </c>
      <c r="E101" s="33" t="s">
        <v>187</v>
      </c>
      <c r="F101" s="33" t="s">
        <v>188</v>
      </c>
      <c r="G101" s="58">
        <v>7</v>
      </c>
      <c r="H101" s="58">
        <v>7</v>
      </c>
      <c r="I101" s="59">
        <v>123.5</v>
      </c>
      <c r="J101" s="71">
        <v>3</v>
      </c>
      <c r="K101" s="71">
        <v>1</v>
      </c>
      <c r="L101" s="71">
        <v>2</v>
      </c>
      <c r="M101" s="59">
        <v>98.3</v>
      </c>
      <c r="N101" s="59">
        <v>32.1</v>
      </c>
      <c r="O101" s="73">
        <v>66.2</v>
      </c>
      <c r="P101" s="83">
        <f aca="true" t="shared" si="35" ref="P101:P112">M101*34150</f>
        <v>3356945</v>
      </c>
      <c r="Q101" s="83">
        <v>1601957.3573261215</v>
      </c>
      <c r="R101" s="83">
        <v>1419290.177518896</v>
      </c>
      <c r="S101" s="83">
        <v>335697.4651549823</v>
      </c>
      <c r="T101" s="83">
        <v>0</v>
      </c>
    </row>
    <row r="102" spans="1:20" ht="47.25">
      <c r="A102" s="43">
        <f aca="true" t="shared" si="36" ref="A102:A113">A101+1</f>
        <v>85</v>
      </c>
      <c r="B102" s="57" t="s">
        <v>144</v>
      </c>
      <c r="C102" s="71">
        <v>18</v>
      </c>
      <c r="D102" s="72">
        <v>40046</v>
      </c>
      <c r="E102" s="33" t="s">
        <v>187</v>
      </c>
      <c r="F102" s="33" t="s">
        <v>188</v>
      </c>
      <c r="G102" s="58">
        <v>10</v>
      </c>
      <c r="H102" s="58">
        <v>10</v>
      </c>
      <c r="I102" s="59">
        <v>129.4</v>
      </c>
      <c r="J102" s="71">
        <v>4</v>
      </c>
      <c r="K102" s="71">
        <v>3</v>
      </c>
      <c r="L102" s="71">
        <v>1</v>
      </c>
      <c r="M102" s="59">
        <v>129.4</v>
      </c>
      <c r="N102" s="59">
        <v>97.1</v>
      </c>
      <c r="O102" s="73">
        <v>32.3</v>
      </c>
      <c r="P102" s="83">
        <f t="shared" si="35"/>
        <v>4419010</v>
      </c>
      <c r="Q102" s="83">
        <v>2108782.116358089</v>
      </c>
      <c r="R102" s="83">
        <v>1868322.9803758408</v>
      </c>
      <c r="S102" s="83">
        <v>441904.9032660703</v>
      </c>
      <c r="T102" s="83">
        <v>0</v>
      </c>
    </row>
    <row r="103" spans="1:20" ht="31.5">
      <c r="A103" s="43">
        <f t="shared" si="36"/>
        <v>86</v>
      </c>
      <c r="B103" s="57" t="s">
        <v>145</v>
      </c>
      <c r="C103" s="71">
        <v>22</v>
      </c>
      <c r="D103" s="72">
        <v>40046</v>
      </c>
      <c r="E103" s="33" t="s">
        <v>187</v>
      </c>
      <c r="F103" s="33" t="s">
        <v>188</v>
      </c>
      <c r="G103" s="58">
        <v>8</v>
      </c>
      <c r="H103" s="58">
        <v>8</v>
      </c>
      <c r="I103" s="59">
        <v>156.5</v>
      </c>
      <c r="J103" s="71">
        <v>5</v>
      </c>
      <c r="K103" s="71">
        <v>4</v>
      </c>
      <c r="L103" s="71">
        <v>1</v>
      </c>
      <c r="M103" s="59">
        <v>156.5</v>
      </c>
      <c r="N103" s="59">
        <v>131.8</v>
      </c>
      <c r="O103" s="73">
        <v>24.7</v>
      </c>
      <c r="P103" s="83">
        <f t="shared" si="35"/>
        <v>5344475</v>
      </c>
      <c r="Q103" s="83">
        <v>2550420.4112058803</v>
      </c>
      <c r="R103" s="83">
        <v>2259602.368074336</v>
      </c>
      <c r="S103" s="83">
        <v>534452.2207197837</v>
      </c>
      <c r="T103" s="83">
        <v>0</v>
      </c>
    </row>
    <row r="104" spans="1:20" ht="31.5">
      <c r="A104" s="43">
        <f t="shared" si="36"/>
        <v>87</v>
      </c>
      <c r="B104" s="57" t="s">
        <v>146</v>
      </c>
      <c r="C104" s="71">
        <v>23</v>
      </c>
      <c r="D104" s="72">
        <v>40046</v>
      </c>
      <c r="E104" s="33" t="s">
        <v>187</v>
      </c>
      <c r="F104" s="33" t="s">
        <v>188</v>
      </c>
      <c r="G104" s="58">
        <v>17</v>
      </c>
      <c r="H104" s="58">
        <v>17</v>
      </c>
      <c r="I104" s="59">
        <v>195.1</v>
      </c>
      <c r="J104" s="71">
        <v>5</v>
      </c>
      <c r="K104" s="71">
        <v>3</v>
      </c>
      <c r="L104" s="71">
        <v>2</v>
      </c>
      <c r="M104" s="59">
        <v>195.1</v>
      </c>
      <c r="N104" s="59">
        <v>129.6</v>
      </c>
      <c r="O104" s="73">
        <v>65.5</v>
      </c>
      <c r="P104" s="83">
        <f t="shared" si="35"/>
        <v>6662665</v>
      </c>
      <c r="Q104" s="83">
        <v>3179469.7905831775</v>
      </c>
      <c r="R104" s="83">
        <v>2816922.8243533736</v>
      </c>
      <c r="S104" s="83">
        <v>666272.3850634492</v>
      </c>
      <c r="T104" s="83">
        <v>0</v>
      </c>
    </row>
    <row r="105" spans="1:20" ht="31.5">
      <c r="A105" s="43">
        <f t="shared" si="36"/>
        <v>88</v>
      </c>
      <c r="B105" s="57" t="s">
        <v>147</v>
      </c>
      <c r="C105" s="71">
        <v>21</v>
      </c>
      <c r="D105" s="72">
        <v>40046</v>
      </c>
      <c r="E105" s="33" t="s">
        <v>187</v>
      </c>
      <c r="F105" s="33" t="s">
        <v>188</v>
      </c>
      <c r="G105" s="58">
        <v>17</v>
      </c>
      <c r="H105" s="58">
        <v>17</v>
      </c>
      <c r="I105" s="59">
        <v>264.4</v>
      </c>
      <c r="J105" s="71">
        <v>7</v>
      </c>
      <c r="K105" s="71">
        <v>3</v>
      </c>
      <c r="L105" s="71">
        <v>4</v>
      </c>
      <c r="M105" s="59">
        <v>245.7</v>
      </c>
      <c r="N105" s="59">
        <v>112.2</v>
      </c>
      <c r="O105" s="73">
        <f>M105-N105</f>
        <v>133.5</v>
      </c>
      <c r="P105" s="83">
        <f t="shared" si="35"/>
        <v>8390655</v>
      </c>
      <c r="Q105" s="83">
        <v>4004078.5625130017</v>
      </c>
      <c r="R105" s="83">
        <v>3547503.5261077597</v>
      </c>
      <c r="S105" s="83">
        <v>839072.9113792386</v>
      </c>
      <c r="T105" s="83">
        <v>0</v>
      </c>
    </row>
    <row r="106" spans="1:20" ht="31.5">
      <c r="A106" s="43">
        <f t="shared" si="36"/>
        <v>89</v>
      </c>
      <c r="B106" s="57" t="s">
        <v>148</v>
      </c>
      <c r="C106" s="71">
        <v>13</v>
      </c>
      <c r="D106" s="72">
        <v>40046</v>
      </c>
      <c r="E106" s="33" t="s">
        <v>187</v>
      </c>
      <c r="F106" s="33" t="s">
        <v>188</v>
      </c>
      <c r="G106" s="58">
        <v>14</v>
      </c>
      <c r="H106" s="58">
        <v>14</v>
      </c>
      <c r="I106" s="59">
        <v>130.2</v>
      </c>
      <c r="J106" s="71">
        <v>4</v>
      </c>
      <c r="K106" s="71">
        <v>1</v>
      </c>
      <c r="L106" s="71">
        <v>3</v>
      </c>
      <c r="M106" s="59">
        <v>130.2</v>
      </c>
      <c r="N106" s="59">
        <v>32.2</v>
      </c>
      <c r="O106" s="73">
        <v>98</v>
      </c>
      <c r="P106" s="83">
        <f t="shared" si="35"/>
        <v>4446330</v>
      </c>
      <c r="Q106" s="83">
        <v>2121819.409194924</v>
      </c>
      <c r="R106" s="83">
        <v>1879873.6634075306</v>
      </c>
      <c r="S106" s="83">
        <v>444636.92739754525</v>
      </c>
      <c r="T106" s="83">
        <v>0</v>
      </c>
    </row>
    <row r="107" spans="1:20" ht="31.5">
      <c r="A107" s="43">
        <f t="shared" si="36"/>
        <v>90</v>
      </c>
      <c r="B107" s="57" t="s">
        <v>149</v>
      </c>
      <c r="C107" s="71">
        <v>16</v>
      </c>
      <c r="D107" s="72">
        <v>40046</v>
      </c>
      <c r="E107" s="33" t="s">
        <v>187</v>
      </c>
      <c r="F107" s="33" t="s">
        <v>188</v>
      </c>
      <c r="G107" s="58">
        <v>32</v>
      </c>
      <c r="H107" s="58">
        <v>32</v>
      </c>
      <c r="I107" s="59">
        <v>501.5</v>
      </c>
      <c r="J107" s="71">
        <v>8</v>
      </c>
      <c r="K107" s="71">
        <v>0</v>
      </c>
      <c r="L107" s="71">
        <v>8</v>
      </c>
      <c r="M107" s="59">
        <v>501.5</v>
      </c>
      <c r="N107" s="59">
        <v>0</v>
      </c>
      <c r="O107" s="73">
        <v>501.5</v>
      </c>
      <c r="P107" s="83">
        <f t="shared" si="35"/>
        <v>17126225</v>
      </c>
      <c r="Q107" s="83">
        <v>8172752.947091048</v>
      </c>
      <c r="R107" s="83">
        <v>7240834.425490604</v>
      </c>
      <c r="S107" s="83">
        <v>1712637.6274183483</v>
      </c>
      <c r="T107" s="83">
        <v>0</v>
      </c>
    </row>
    <row r="108" spans="1:20" ht="31.5">
      <c r="A108" s="43">
        <f t="shared" si="36"/>
        <v>91</v>
      </c>
      <c r="B108" s="57" t="s">
        <v>150</v>
      </c>
      <c r="C108" s="71">
        <v>19</v>
      </c>
      <c r="D108" s="72">
        <v>40046</v>
      </c>
      <c r="E108" s="33" t="s">
        <v>187</v>
      </c>
      <c r="F108" s="33" t="s">
        <v>188</v>
      </c>
      <c r="G108" s="58">
        <v>24</v>
      </c>
      <c r="H108" s="58">
        <v>24</v>
      </c>
      <c r="I108" s="59">
        <v>504.7</v>
      </c>
      <c r="J108" s="71">
        <v>8</v>
      </c>
      <c r="K108" s="71">
        <v>1</v>
      </c>
      <c r="L108" s="71">
        <v>7</v>
      </c>
      <c r="M108" s="59">
        <v>504.7</v>
      </c>
      <c r="N108" s="59">
        <v>50.3</v>
      </c>
      <c r="O108" s="73">
        <v>454.4</v>
      </c>
      <c r="P108" s="83">
        <f t="shared" si="35"/>
        <v>17235505</v>
      </c>
      <c r="Q108" s="83">
        <v>8224902.118438388</v>
      </c>
      <c r="R108" s="83">
        <v>7287037.157617363</v>
      </c>
      <c r="S108" s="83">
        <v>1723565.723944248</v>
      </c>
      <c r="T108" s="83">
        <v>0</v>
      </c>
    </row>
    <row r="109" spans="1:20" ht="31.5">
      <c r="A109" s="43">
        <f t="shared" si="36"/>
        <v>92</v>
      </c>
      <c r="B109" s="57" t="s">
        <v>151</v>
      </c>
      <c r="C109" s="71">
        <v>15</v>
      </c>
      <c r="D109" s="72">
        <v>40046</v>
      </c>
      <c r="E109" s="33" t="s">
        <v>187</v>
      </c>
      <c r="F109" s="33" t="s">
        <v>188</v>
      </c>
      <c r="G109" s="58">
        <v>12</v>
      </c>
      <c r="H109" s="58">
        <v>12</v>
      </c>
      <c r="I109" s="59">
        <v>130.2</v>
      </c>
      <c r="J109" s="71">
        <v>4</v>
      </c>
      <c r="K109" s="71">
        <v>2</v>
      </c>
      <c r="L109" s="71">
        <v>2</v>
      </c>
      <c r="M109" s="59">
        <v>130.2</v>
      </c>
      <c r="N109" s="59">
        <v>69.1</v>
      </c>
      <c r="O109" s="73">
        <v>61.1</v>
      </c>
      <c r="P109" s="83">
        <f t="shared" si="35"/>
        <v>4446330</v>
      </c>
      <c r="Q109" s="83">
        <v>2121819.409194924</v>
      </c>
      <c r="R109" s="83">
        <v>1879873.6634075306</v>
      </c>
      <c r="S109" s="83">
        <v>444636.92739754525</v>
      </c>
      <c r="T109" s="83">
        <v>0</v>
      </c>
    </row>
    <row r="110" spans="1:20" ht="31.5">
      <c r="A110" s="43">
        <f t="shared" si="36"/>
        <v>93</v>
      </c>
      <c r="B110" s="57" t="s">
        <v>152</v>
      </c>
      <c r="C110" s="71">
        <v>12</v>
      </c>
      <c r="D110" s="72">
        <v>40046</v>
      </c>
      <c r="E110" s="33" t="s">
        <v>187</v>
      </c>
      <c r="F110" s="33" t="s">
        <v>188</v>
      </c>
      <c r="G110" s="58">
        <v>11</v>
      </c>
      <c r="H110" s="58">
        <v>11</v>
      </c>
      <c r="I110" s="59">
        <v>114.3</v>
      </c>
      <c r="J110" s="71">
        <v>4</v>
      </c>
      <c r="K110" s="71">
        <v>3</v>
      </c>
      <c r="L110" s="71">
        <v>1</v>
      </c>
      <c r="M110" s="59">
        <v>114.3</v>
      </c>
      <c r="N110" s="59">
        <v>86.4</v>
      </c>
      <c r="O110" s="73">
        <v>27.9</v>
      </c>
      <c r="P110" s="83">
        <f t="shared" si="35"/>
        <v>3903345</v>
      </c>
      <c r="Q110" s="83">
        <v>1862703.214062825</v>
      </c>
      <c r="R110" s="83">
        <v>1650303.838152694</v>
      </c>
      <c r="S110" s="83">
        <v>390337.947784481</v>
      </c>
      <c r="T110" s="83">
        <v>0</v>
      </c>
    </row>
    <row r="111" spans="1:20" ht="31.5">
      <c r="A111" s="43">
        <f t="shared" si="36"/>
        <v>94</v>
      </c>
      <c r="B111" s="57" t="s">
        <v>153</v>
      </c>
      <c r="C111" s="71">
        <v>14</v>
      </c>
      <c r="D111" s="72">
        <v>40046</v>
      </c>
      <c r="E111" s="33" t="s">
        <v>187</v>
      </c>
      <c r="F111" s="33" t="s">
        <v>188</v>
      </c>
      <c r="G111" s="58">
        <v>14</v>
      </c>
      <c r="H111" s="58">
        <v>14</v>
      </c>
      <c r="I111" s="59">
        <v>173.4</v>
      </c>
      <c r="J111" s="71">
        <v>4</v>
      </c>
      <c r="K111" s="71">
        <v>4</v>
      </c>
      <c r="L111" s="71">
        <v>0</v>
      </c>
      <c r="M111" s="59">
        <v>173.4</v>
      </c>
      <c r="N111" s="59">
        <v>173.4</v>
      </c>
      <c r="O111" s="73">
        <v>0</v>
      </c>
      <c r="P111" s="83">
        <f t="shared" si="35"/>
        <v>5921610</v>
      </c>
      <c r="Q111" s="83">
        <v>2825833.2223840235</v>
      </c>
      <c r="R111" s="83">
        <v>2503610.5471187853</v>
      </c>
      <c r="S111" s="83">
        <v>592166.2304971915</v>
      </c>
      <c r="T111" s="83">
        <v>0</v>
      </c>
    </row>
    <row r="112" spans="1:20" ht="31.5">
      <c r="A112" s="43">
        <f t="shared" si="36"/>
        <v>95</v>
      </c>
      <c r="B112" s="57" t="s">
        <v>154</v>
      </c>
      <c r="C112" s="71">
        <v>17</v>
      </c>
      <c r="D112" s="72">
        <v>40046</v>
      </c>
      <c r="E112" s="33" t="s">
        <v>187</v>
      </c>
      <c r="F112" s="33" t="s">
        <v>188</v>
      </c>
      <c r="G112" s="58">
        <v>22</v>
      </c>
      <c r="H112" s="58">
        <v>22</v>
      </c>
      <c r="I112" s="59">
        <v>324.6</v>
      </c>
      <c r="J112" s="71">
        <v>7</v>
      </c>
      <c r="K112" s="71">
        <v>2</v>
      </c>
      <c r="L112" s="71">
        <v>5</v>
      </c>
      <c r="M112" s="59">
        <v>324.6</v>
      </c>
      <c r="N112" s="59">
        <v>100.6</v>
      </c>
      <c r="O112" s="73">
        <v>224</v>
      </c>
      <c r="P112" s="83">
        <f t="shared" si="35"/>
        <v>11085090</v>
      </c>
      <c r="Q112" s="83">
        <v>5289881.56854587</v>
      </c>
      <c r="R112" s="83">
        <v>4686689.640108176</v>
      </c>
      <c r="S112" s="83">
        <v>1108518.7913459537</v>
      </c>
      <c r="T112" s="83">
        <v>0</v>
      </c>
    </row>
    <row r="113" spans="1:20" ht="31.5">
      <c r="A113" s="43">
        <f t="shared" si="36"/>
        <v>96</v>
      </c>
      <c r="B113" s="57" t="s">
        <v>155</v>
      </c>
      <c r="C113" s="71">
        <v>25</v>
      </c>
      <c r="D113" s="72">
        <v>40826</v>
      </c>
      <c r="E113" s="33" t="s">
        <v>187</v>
      </c>
      <c r="F113" s="33" t="s">
        <v>188</v>
      </c>
      <c r="G113" s="58">
        <v>7</v>
      </c>
      <c r="H113" s="58">
        <v>7</v>
      </c>
      <c r="I113" s="59">
        <v>125.5</v>
      </c>
      <c r="J113" s="71">
        <v>2</v>
      </c>
      <c r="K113" s="71">
        <v>0</v>
      </c>
      <c r="L113" s="71">
        <v>2</v>
      </c>
      <c r="M113" s="59">
        <v>58.7</v>
      </c>
      <c r="N113" s="59">
        <v>0</v>
      </c>
      <c r="O113" s="73">
        <v>58.7</v>
      </c>
      <c r="P113" s="83">
        <f>M113*34150</f>
        <v>2004605</v>
      </c>
      <c r="Q113" s="83">
        <v>954981.7002981827</v>
      </c>
      <c r="R113" s="83">
        <v>846087.532071285</v>
      </c>
      <c r="S113" s="83">
        <v>203535.76763053238</v>
      </c>
      <c r="T113" s="83">
        <v>0</v>
      </c>
    </row>
    <row r="114" spans="1:20" ht="15.75">
      <c r="A114" s="149" t="s">
        <v>156</v>
      </c>
      <c r="B114" s="149"/>
      <c r="C114" s="58"/>
      <c r="D114" s="58"/>
      <c r="E114" s="58"/>
      <c r="F114" s="58"/>
      <c r="G114" s="58">
        <f>SUM(G115:G123)</f>
        <v>178</v>
      </c>
      <c r="H114" s="58">
        <f aca="true" t="shared" si="37" ref="H114:T114">SUM(H115:H123)</f>
        <v>178</v>
      </c>
      <c r="I114" s="59">
        <f t="shared" si="37"/>
        <v>3038.24</v>
      </c>
      <c r="J114" s="58">
        <f>SUM(J115:J123)</f>
        <v>63</v>
      </c>
      <c r="K114" s="58">
        <f t="shared" si="37"/>
        <v>37</v>
      </c>
      <c r="L114" s="58">
        <f t="shared" si="37"/>
        <v>26</v>
      </c>
      <c r="M114" s="59">
        <f t="shared" si="37"/>
        <v>3052.54</v>
      </c>
      <c r="N114" s="59">
        <f t="shared" si="37"/>
        <v>1683.5</v>
      </c>
      <c r="O114" s="59">
        <f t="shared" si="37"/>
        <v>1369.04</v>
      </c>
      <c r="P114" s="65">
        <f t="shared" si="37"/>
        <v>104244241</v>
      </c>
      <c r="Q114" s="65">
        <f>SUM(Q115:Q123)</f>
        <v>49385499.99934089</v>
      </c>
      <c r="R114" s="65">
        <f>SUM(R115:R123)</f>
        <v>43754199.99984784</v>
      </c>
      <c r="S114" s="65">
        <f t="shared" si="37"/>
        <v>11104541.000811273</v>
      </c>
      <c r="T114" s="65">
        <f t="shared" si="37"/>
        <v>0</v>
      </c>
    </row>
    <row r="115" spans="1:20" ht="31.5">
      <c r="A115" s="43">
        <v>97</v>
      </c>
      <c r="B115" s="93" t="s">
        <v>157</v>
      </c>
      <c r="C115" s="74">
        <v>11</v>
      </c>
      <c r="D115" s="72">
        <v>38056</v>
      </c>
      <c r="E115" s="130" t="s">
        <v>186</v>
      </c>
      <c r="F115" s="130" t="s">
        <v>625</v>
      </c>
      <c r="G115" s="58">
        <v>22</v>
      </c>
      <c r="H115" s="58">
        <v>22</v>
      </c>
      <c r="I115" s="73">
        <v>200.15000000000003</v>
      </c>
      <c r="J115" s="71">
        <f>K115+L115</f>
        <v>6</v>
      </c>
      <c r="K115" s="71">
        <v>3</v>
      </c>
      <c r="L115" s="71">
        <v>3</v>
      </c>
      <c r="M115" s="59">
        <f>N115+O115</f>
        <v>200.15000000000003</v>
      </c>
      <c r="N115" s="59">
        <v>103.9</v>
      </c>
      <c r="O115" s="59">
        <v>96.25000000000003</v>
      </c>
      <c r="P115" s="65">
        <f>M115*34150</f>
        <v>6835122.500000001</v>
      </c>
      <c r="Q115" s="65">
        <f>P115*0.47374799342</f>
        <v>3238125.5691548944</v>
      </c>
      <c r="R115" s="65">
        <f>P115*0.41972774304</f>
        <v>2868890.5403269227</v>
      </c>
      <c r="S115" s="65">
        <f>P115-Q115-R115</f>
        <v>728106.3905181838</v>
      </c>
      <c r="T115" s="65">
        <v>0</v>
      </c>
    </row>
    <row r="116" spans="1:20" ht="31.5">
      <c r="A116" s="43">
        <f>A115+1</f>
        <v>98</v>
      </c>
      <c r="B116" s="93" t="s">
        <v>159</v>
      </c>
      <c r="C116" s="74">
        <v>4</v>
      </c>
      <c r="D116" s="72">
        <v>38043</v>
      </c>
      <c r="E116" s="130" t="s">
        <v>186</v>
      </c>
      <c r="F116" s="130" t="s">
        <v>625</v>
      </c>
      <c r="G116" s="58">
        <v>23</v>
      </c>
      <c r="H116" s="58">
        <v>23</v>
      </c>
      <c r="I116" s="73">
        <v>557.15</v>
      </c>
      <c r="J116" s="71">
        <f>K116+L116</f>
        <v>8</v>
      </c>
      <c r="K116" s="71">
        <v>1</v>
      </c>
      <c r="L116" s="71">
        <v>7</v>
      </c>
      <c r="M116" s="59">
        <f>N116+O116</f>
        <v>557.15</v>
      </c>
      <c r="N116" s="59">
        <v>66.8</v>
      </c>
      <c r="O116" s="59">
        <v>490.34999999999997</v>
      </c>
      <c r="P116" s="65">
        <f aca="true" t="shared" si="38" ref="P116:P123">M116*34150</f>
        <v>19026672.5</v>
      </c>
      <c r="Q116" s="65">
        <f aca="true" t="shared" si="39" ref="Q116:Q123">P116*0.47374799342</f>
        <v>9013847.918334495</v>
      </c>
      <c r="R116" s="65">
        <f aca="true" t="shared" si="40" ref="R116:R123">P116*0.41972774304</f>
        <v>7986022.305986234</v>
      </c>
      <c r="S116" s="65">
        <f aca="true" t="shared" si="41" ref="S116:S123">P116-Q116-R116</f>
        <v>2026802.2756792707</v>
      </c>
      <c r="T116" s="65">
        <v>0</v>
      </c>
    </row>
    <row r="117" spans="1:20" ht="31.5">
      <c r="A117" s="43">
        <f aca="true" t="shared" si="42" ref="A117:A123">A116+1</f>
        <v>99</v>
      </c>
      <c r="B117" s="57" t="s">
        <v>160</v>
      </c>
      <c r="C117" s="74">
        <v>13</v>
      </c>
      <c r="D117" s="72">
        <v>38063</v>
      </c>
      <c r="E117" s="130" t="s">
        <v>186</v>
      </c>
      <c r="F117" s="130" t="s">
        <v>625</v>
      </c>
      <c r="G117" s="58">
        <v>18</v>
      </c>
      <c r="H117" s="58">
        <v>18</v>
      </c>
      <c r="I117" s="73">
        <v>507.29999999999995</v>
      </c>
      <c r="J117" s="71">
        <f aca="true" t="shared" si="43" ref="J117:J123">K117+L117</f>
        <v>8</v>
      </c>
      <c r="K117" s="71">
        <v>8</v>
      </c>
      <c r="L117" s="71">
        <v>0</v>
      </c>
      <c r="M117" s="59">
        <f aca="true" t="shared" si="44" ref="M117:M123">N117+O117</f>
        <v>507.29999999999995</v>
      </c>
      <c r="N117" s="59">
        <v>507.29999999999995</v>
      </c>
      <c r="O117" s="59">
        <v>0</v>
      </c>
      <c r="P117" s="65">
        <f t="shared" si="38"/>
        <v>17324295</v>
      </c>
      <c r="Q117" s="65">
        <f t="shared" si="39"/>
        <v>8207349.993666139</v>
      </c>
      <c r="R117" s="65">
        <f t="shared" si="40"/>
        <v>7271487.240109157</v>
      </c>
      <c r="S117" s="65">
        <f t="shared" si="41"/>
        <v>1845457.7662247047</v>
      </c>
      <c r="T117" s="65">
        <v>0</v>
      </c>
    </row>
    <row r="118" spans="1:20" ht="31.5">
      <c r="A118" s="43">
        <f t="shared" si="42"/>
        <v>100</v>
      </c>
      <c r="B118" s="57" t="s">
        <v>161</v>
      </c>
      <c r="C118" s="74">
        <v>52</v>
      </c>
      <c r="D118" s="72">
        <v>38222</v>
      </c>
      <c r="E118" s="130" t="s">
        <v>186</v>
      </c>
      <c r="F118" s="130" t="s">
        <v>625</v>
      </c>
      <c r="G118" s="58">
        <v>29</v>
      </c>
      <c r="H118" s="58">
        <v>29</v>
      </c>
      <c r="I118" s="73">
        <v>481.8</v>
      </c>
      <c r="J118" s="71">
        <f t="shared" si="43"/>
        <v>8</v>
      </c>
      <c r="K118" s="71">
        <v>5</v>
      </c>
      <c r="L118" s="71">
        <v>3</v>
      </c>
      <c r="M118" s="59">
        <f t="shared" si="44"/>
        <v>481.8</v>
      </c>
      <c r="N118" s="59">
        <v>121.8</v>
      </c>
      <c r="O118" s="59">
        <v>360</v>
      </c>
      <c r="P118" s="65">
        <f t="shared" si="38"/>
        <v>16453470</v>
      </c>
      <c r="Q118" s="65">
        <f t="shared" si="39"/>
        <v>7794798.397296168</v>
      </c>
      <c r="R118" s="65">
        <f t="shared" si="40"/>
        <v>6905977.828276348</v>
      </c>
      <c r="S118" s="65">
        <f t="shared" si="41"/>
        <v>1752693.7744274838</v>
      </c>
      <c r="T118" s="65">
        <v>0</v>
      </c>
    </row>
    <row r="119" spans="1:20" ht="31.5">
      <c r="A119" s="43">
        <f t="shared" si="42"/>
        <v>101</v>
      </c>
      <c r="B119" s="57" t="s">
        <v>162</v>
      </c>
      <c r="C119" s="74">
        <v>51</v>
      </c>
      <c r="D119" s="72">
        <v>38222</v>
      </c>
      <c r="E119" s="130" t="s">
        <v>186</v>
      </c>
      <c r="F119" s="130" t="s">
        <v>625</v>
      </c>
      <c r="G119" s="58">
        <v>29</v>
      </c>
      <c r="H119" s="58">
        <v>29</v>
      </c>
      <c r="I119" s="59">
        <v>479.9</v>
      </c>
      <c r="J119" s="71">
        <f>K119+L119</f>
        <v>8</v>
      </c>
      <c r="K119" s="71">
        <v>7</v>
      </c>
      <c r="L119" s="71">
        <v>1</v>
      </c>
      <c r="M119" s="59">
        <f>N119+O119</f>
        <v>494.20000000000005</v>
      </c>
      <c r="N119" s="59">
        <v>457.20000000000005</v>
      </c>
      <c r="O119" s="59">
        <v>37</v>
      </c>
      <c r="P119" s="65">
        <f t="shared" si="38"/>
        <v>16876930</v>
      </c>
      <c r="Q119" s="65">
        <f t="shared" si="39"/>
        <v>7995411.722589801</v>
      </c>
      <c r="R119" s="65">
        <f t="shared" si="40"/>
        <v>7083715.738344067</v>
      </c>
      <c r="S119" s="65">
        <f t="shared" si="41"/>
        <v>1797802.5390661312</v>
      </c>
      <c r="T119" s="65">
        <v>0</v>
      </c>
    </row>
    <row r="120" spans="1:20" ht="31.5">
      <c r="A120" s="43">
        <f t="shared" si="42"/>
        <v>102</v>
      </c>
      <c r="B120" s="57" t="s">
        <v>163</v>
      </c>
      <c r="C120" s="74">
        <v>12</v>
      </c>
      <c r="D120" s="72">
        <v>38056</v>
      </c>
      <c r="E120" s="130" t="s">
        <v>186</v>
      </c>
      <c r="F120" s="130" t="s">
        <v>625</v>
      </c>
      <c r="G120" s="58">
        <v>13</v>
      </c>
      <c r="H120" s="58">
        <v>13</v>
      </c>
      <c r="I120" s="73">
        <v>173.70000000000002</v>
      </c>
      <c r="J120" s="71">
        <f t="shared" si="43"/>
        <v>6</v>
      </c>
      <c r="K120" s="71">
        <v>4</v>
      </c>
      <c r="L120" s="71">
        <v>2</v>
      </c>
      <c r="M120" s="59">
        <f t="shared" si="44"/>
        <v>173.70000000000002</v>
      </c>
      <c r="N120" s="59">
        <v>116.80000000000001</v>
      </c>
      <c r="O120" s="59">
        <v>56.900000000000006</v>
      </c>
      <c r="P120" s="65">
        <f t="shared" si="38"/>
        <v>5931855.000000001</v>
      </c>
      <c r="Q120" s="65">
        <f t="shared" si="39"/>
        <v>2810204.4035083945</v>
      </c>
      <c r="R120" s="65">
        <f t="shared" si="40"/>
        <v>2489764.1111905393</v>
      </c>
      <c r="S120" s="65">
        <f t="shared" si="41"/>
        <v>631886.4853010671</v>
      </c>
      <c r="T120" s="65">
        <v>0</v>
      </c>
    </row>
    <row r="121" spans="1:20" ht="31.5">
      <c r="A121" s="43">
        <f t="shared" si="42"/>
        <v>103</v>
      </c>
      <c r="B121" s="57" t="s">
        <v>164</v>
      </c>
      <c r="C121" s="74">
        <v>26</v>
      </c>
      <c r="D121" s="72">
        <v>38072</v>
      </c>
      <c r="E121" s="130" t="s">
        <v>186</v>
      </c>
      <c r="F121" s="130" t="s">
        <v>625</v>
      </c>
      <c r="G121" s="58">
        <v>14</v>
      </c>
      <c r="H121" s="58">
        <v>14</v>
      </c>
      <c r="I121" s="73">
        <v>271.44</v>
      </c>
      <c r="J121" s="71">
        <f t="shared" si="43"/>
        <v>7</v>
      </c>
      <c r="K121" s="71">
        <v>3</v>
      </c>
      <c r="L121" s="71">
        <v>4</v>
      </c>
      <c r="M121" s="59">
        <f t="shared" si="44"/>
        <v>271.44</v>
      </c>
      <c r="N121" s="59">
        <v>116.7</v>
      </c>
      <c r="O121" s="59">
        <v>154.74</v>
      </c>
      <c r="P121" s="65">
        <f t="shared" si="38"/>
        <v>9269676</v>
      </c>
      <c r="Q121" s="65">
        <f t="shared" si="39"/>
        <v>4391490.404653532</v>
      </c>
      <c r="R121" s="65">
        <f t="shared" si="40"/>
        <v>3890740.1861920548</v>
      </c>
      <c r="S121" s="65">
        <f t="shared" si="41"/>
        <v>987445.4091544128</v>
      </c>
      <c r="T121" s="65">
        <v>0</v>
      </c>
    </row>
    <row r="122" spans="1:20" ht="31.5">
      <c r="A122" s="43">
        <f t="shared" si="42"/>
        <v>104</v>
      </c>
      <c r="B122" s="57" t="s">
        <v>165</v>
      </c>
      <c r="C122" s="74">
        <v>28</v>
      </c>
      <c r="D122" s="72">
        <v>38075</v>
      </c>
      <c r="E122" s="130" t="s">
        <v>186</v>
      </c>
      <c r="F122" s="130" t="s">
        <v>625</v>
      </c>
      <c r="G122" s="58">
        <v>19</v>
      </c>
      <c r="H122" s="58">
        <v>19</v>
      </c>
      <c r="I122" s="73">
        <v>263.4</v>
      </c>
      <c r="J122" s="71">
        <f t="shared" si="43"/>
        <v>9</v>
      </c>
      <c r="K122" s="71">
        <v>5</v>
      </c>
      <c r="L122" s="71">
        <v>4</v>
      </c>
      <c r="M122" s="59">
        <f t="shared" si="44"/>
        <v>263.4</v>
      </c>
      <c r="N122" s="59">
        <v>155.79999999999998</v>
      </c>
      <c r="O122" s="59">
        <v>107.6</v>
      </c>
      <c r="P122" s="65">
        <f t="shared" si="38"/>
        <v>8995110</v>
      </c>
      <c r="Q122" s="65">
        <f t="shared" si="39"/>
        <v>4261415.313092176</v>
      </c>
      <c r="R122" s="65">
        <f t="shared" si="40"/>
        <v>3775497.218696534</v>
      </c>
      <c r="S122" s="65">
        <f t="shared" si="41"/>
        <v>958197.46821129</v>
      </c>
      <c r="T122" s="65">
        <v>0</v>
      </c>
    </row>
    <row r="123" spans="1:20" ht="31.5">
      <c r="A123" s="43">
        <f t="shared" si="42"/>
        <v>105</v>
      </c>
      <c r="B123" s="57" t="s">
        <v>166</v>
      </c>
      <c r="C123" s="74">
        <v>43</v>
      </c>
      <c r="D123" s="72">
        <v>38217</v>
      </c>
      <c r="E123" s="130" t="s">
        <v>186</v>
      </c>
      <c r="F123" s="130" t="s">
        <v>625</v>
      </c>
      <c r="G123" s="58">
        <v>11</v>
      </c>
      <c r="H123" s="58">
        <v>11</v>
      </c>
      <c r="I123" s="73">
        <v>103.4</v>
      </c>
      <c r="J123" s="71">
        <f t="shared" si="43"/>
        <v>3</v>
      </c>
      <c r="K123" s="71">
        <v>1</v>
      </c>
      <c r="L123" s="71">
        <v>2</v>
      </c>
      <c r="M123" s="59">
        <f t="shared" si="44"/>
        <v>103.4</v>
      </c>
      <c r="N123" s="59">
        <v>37.2</v>
      </c>
      <c r="O123" s="59">
        <v>66.2</v>
      </c>
      <c r="P123" s="65">
        <f t="shared" si="38"/>
        <v>3531110</v>
      </c>
      <c r="Q123" s="65">
        <f t="shared" si="39"/>
        <v>1672856.2770452963</v>
      </c>
      <c r="R123" s="65">
        <f t="shared" si="40"/>
        <v>1482104.8307259744</v>
      </c>
      <c r="S123" s="65">
        <f t="shared" si="41"/>
        <v>376148.8922287293</v>
      </c>
      <c r="T123" s="65">
        <v>0</v>
      </c>
    </row>
    <row r="124" spans="1:20" ht="15.75">
      <c r="A124" s="151" t="s">
        <v>167</v>
      </c>
      <c r="B124" s="151"/>
      <c r="C124" s="33"/>
      <c r="D124" s="33"/>
      <c r="E124" s="33"/>
      <c r="F124" s="33"/>
      <c r="G124" s="33">
        <f>G125++G126+G127+G128+G129</f>
        <v>66</v>
      </c>
      <c r="H124" s="33">
        <v>66</v>
      </c>
      <c r="I124" s="85">
        <f aca="true" t="shared" si="45" ref="I124:N124">I125+I126+I127+I128+I129</f>
        <v>1000.7</v>
      </c>
      <c r="J124" s="84">
        <f t="shared" si="45"/>
        <v>24</v>
      </c>
      <c r="K124" s="33">
        <f t="shared" si="45"/>
        <v>2</v>
      </c>
      <c r="L124" s="84">
        <f t="shared" si="45"/>
        <v>22</v>
      </c>
      <c r="M124" s="85">
        <f t="shared" si="45"/>
        <v>649.0999999999999</v>
      </c>
      <c r="N124" s="85">
        <f t="shared" si="45"/>
        <v>75.6</v>
      </c>
      <c r="O124" s="85">
        <f aca="true" t="shared" si="46" ref="O124:T124">O125+O126+O127+O128+O129</f>
        <v>573.5</v>
      </c>
      <c r="P124" s="84">
        <f t="shared" si="46"/>
        <v>22166765</v>
      </c>
      <c r="Q124" s="84">
        <f t="shared" si="46"/>
        <v>11150099.999815201</v>
      </c>
      <c r="R124" s="84">
        <f t="shared" si="46"/>
        <v>9878699.999825109</v>
      </c>
      <c r="S124" s="84">
        <f t="shared" si="46"/>
        <v>1137965.0003596882</v>
      </c>
      <c r="T124" s="84">
        <f t="shared" si="46"/>
        <v>0</v>
      </c>
    </row>
    <row r="125" spans="1:20" ht="31.5">
      <c r="A125" s="136">
        <v>106</v>
      </c>
      <c r="B125" s="91" t="s">
        <v>158</v>
      </c>
      <c r="C125" s="74">
        <v>1</v>
      </c>
      <c r="D125" s="79">
        <v>40745</v>
      </c>
      <c r="E125" s="130" t="s">
        <v>186</v>
      </c>
      <c r="F125" s="130" t="s">
        <v>625</v>
      </c>
      <c r="G125" s="33">
        <v>8</v>
      </c>
      <c r="H125" s="33">
        <v>8</v>
      </c>
      <c r="I125" s="85">
        <v>137</v>
      </c>
      <c r="J125" s="33">
        <v>3</v>
      </c>
      <c r="K125" s="33">
        <v>1</v>
      </c>
      <c r="L125" s="84">
        <v>2</v>
      </c>
      <c r="M125" s="85">
        <v>81.5</v>
      </c>
      <c r="N125" s="85">
        <v>27.4</v>
      </c>
      <c r="O125" s="85">
        <v>54.1</v>
      </c>
      <c r="P125" s="84">
        <f>M125*34150</f>
        <v>2783225</v>
      </c>
      <c r="Q125" s="84">
        <f>P125*0.50300979867</f>
        <v>1399989.4469033107</v>
      </c>
      <c r="R125" s="84">
        <f>P125*0.44565366213</f>
        <v>1240354.4137817693</v>
      </c>
      <c r="S125" s="84">
        <f>P125-Q125-R125</f>
        <v>142881.13931491994</v>
      </c>
      <c r="T125" s="84">
        <v>0</v>
      </c>
    </row>
    <row r="126" spans="1:20" ht="31.5">
      <c r="A126" s="136">
        <f>A125+1</f>
        <v>107</v>
      </c>
      <c r="B126" s="91" t="s">
        <v>168</v>
      </c>
      <c r="C126" s="74">
        <v>2</v>
      </c>
      <c r="D126" s="79">
        <v>40745</v>
      </c>
      <c r="E126" s="130" t="s">
        <v>186</v>
      </c>
      <c r="F126" s="130" t="s">
        <v>625</v>
      </c>
      <c r="G126" s="33">
        <v>20</v>
      </c>
      <c r="H126" s="33">
        <v>20</v>
      </c>
      <c r="I126" s="85">
        <v>243.1</v>
      </c>
      <c r="J126" s="33">
        <v>7</v>
      </c>
      <c r="K126" s="33">
        <v>0</v>
      </c>
      <c r="L126" s="84">
        <v>7</v>
      </c>
      <c r="M126" s="85">
        <v>212.6</v>
      </c>
      <c r="N126" s="85">
        <v>0</v>
      </c>
      <c r="O126" s="85">
        <v>212.6</v>
      </c>
      <c r="P126" s="84">
        <f>M126*34150</f>
        <v>7260290</v>
      </c>
      <c r="Q126" s="84">
        <f>P126*0.50300979867</f>
        <v>3651997.011185814</v>
      </c>
      <c r="R126" s="84">
        <f>P126*0.44565366213</f>
        <v>3235574.826625818</v>
      </c>
      <c r="S126" s="84">
        <f>P126-Q126-R126</f>
        <v>372718.1621883679</v>
      </c>
      <c r="T126" s="84">
        <v>0</v>
      </c>
    </row>
    <row r="127" spans="1:20" ht="31.5">
      <c r="A127" s="136">
        <f>A126+1</f>
        <v>108</v>
      </c>
      <c r="B127" s="91" t="s">
        <v>169</v>
      </c>
      <c r="C127" s="74">
        <v>5</v>
      </c>
      <c r="D127" s="79">
        <v>40745</v>
      </c>
      <c r="E127" s="130" t="s">
        <v>186</v>
      </c>
      <c r="F127" s="130" t="s">
        <v>625</v>
      </c>
      <c r="G127" s="33">
        <v>3</v>
      </c>
      <c r="H127" s="33">
        <v>3</v>
      </c>
      <c r="I127" s="85">
        <v>239</v>
      </c>
      <c r="J127" s="33">
        <v>3</v>
      </c>
      <c r="K127" s="33">
        <v>0</v>
      </c>
      <c r="L127" s="84">
        <v>3</v>
      </c>
      <c r="M127" s="85">
        <v>56.2</v>
      </c>
      <c r="N127" s="85">
        <v>0</v>
      </c>
      <c r="O127" s="85">
        <v>56.2</v>
      </c>
      <c r="P127" s="84">
        <f>M127*34150</f>
        <v>1919230</v>
      </c>
      <c r="Q127" s="84">
        <f>P127*0.50300979867</f>
        <v>965391.495901424</v>
      </c>
      <c r="R127" s="84">
        <f>P127*0.44565366213</f>
        <v>855311.87796976</v>
      </c>
      <c r="S127" s="84">
        <f>P127-Q127-R127</f>
        <v>98526.62612881605</v>
      </c>
      <c r="T127" s="84">
        <v>0</v>
      </c>
    </row>
    <row r="128" spans="1:20" ht="31.5">
      <c r="A128" s="136">
        <f>A127+1</f>
        <v>109</v>
      </c>
      <c r="B128" s="91" t="s">
        <v>170</v>
      </c>
      <c r="C128" s="74">
        <v>4</v>
      </c>
      <c r="D128" s="79">
        <v>40745</v>
      </c>
      <c r="E128" s="130" t="s">
        <v>186</v>
      </c>
      <c r="F128" s="130" t="s">
        <v>625</v>
      </c>
      <c r="G128" s="33">
        <v>24</v>
      </c>
      <c r="H128" s="33">
        <v>24</v>
      </c>
      <c r="I128" s="85">
        <v>224.1</v>
      </c>
      <c r="J128" s="33">
        <v>8</v>
      </c>
      <c r="K128" s="33">
        <v>0</v>
      </c>
      <c r="L128" s="84">
        <v>8</v>
      </c>
      <c r="M128" s="85">
        <v>185</v>
      </c>
      <c r="N128" s="85">
        <v>0</v>
      </c>
      <c r="O128" s="85">
        <v>185</v>
      </c>
      <c r="P128" s="84">
        <f>M128*34150</f>
        <v>6317750</v>
      </c>
      <c r="Q128" s="84">
        <f>P128*0.50300979867</f>
        <v>3177890.155547392</v>
      </c>
      <c r="R128" s="84">
        <f>P128*0.44565366213</f>
        <v>2815528.4239218077</v>
      </c>
      <c r="S128" s="84">
        <f>P128-Q128-R128</f>
        <v>324331.42053080024</v>
      </c>
      <c r="T128" s="84">
        <v>0</v>
      </c>
    </row>
    <row r="129" spans="1:20" ht="31.5">
      <c r="A129" s="136">
        <f>A128+1</f>
        <v>110</v>
      </c>
      <c r="B129" s="91" t="s">
        <v>171</v>
      </c>
      <c r="C129" s="74">
        <v>7</v>
      </c>
      <c r="D129" s="79">
        <v>40466</v>
      </c>
      <c r="E129" s="130" t="s">
        <v>186</v>
      </c>
      <c r="F129" s="130" t="s">
        <v>625</v>
      </c>
      <c r="G129" s="33">
        <v>11</v>
      </c>
      <c r="H129" s="33">
        <v>11</v>
      </c>
      <c r="I129" s="85">
        <v>157.5</v>
      </c>
      <c r="J129" s="84">
        <v>3</v>
      </c>
      <c r="K129" s="33">
        <v>1</v>
      </c>
      <c r="L129" s="84">
        <v>2</v>
      </c>
      <c r="M129" s="85">
        <v>113.8</v>
      </c>
      <c r="N129" s="85">
        <v>48.2</v>
      </c>
      <c r="O129" s="85">
        <v>65.6</v>
      </c>
      <c r="P129" s="84">
        <f>M129*34150</f>
        <v>3886270</v>
      </c>
      <c r="Q129" s="84">
        <f>P129*0.50300979867</f>
        <v>1954831.8902772607</v>
      </c>
      <c r="R129" s="84">
        <f>P129*0.44565366213</f>
        <v>1731930.4575259553</v>
      </c>
      <c r="S129" s="84">
        <f>P129-Q129-R129</f>
        <v>199507.65219678404</v>
      </c>
      <c r="T129" s="84">
        <v>0</v>
      </c>
    </row>
    <row r="130" spans="1:20" ht="15.75">
      <c r="A130" s="149" t="s">
        <v>172</v>
      </c>
      <c r="B130" s="149"/>
      <c r="C130" s="58"/>
      <c r="D130" s="58"/>
      <c r="E130" s="58"/>
      <c r="F130" s="58"/>
      <c r="G130" s="58">
        <f>SUM(G131:G139)</f>
        <v>84</v>
      </c>
      <c r="H130" s="58">
        <f aca="true" t="shared" si="47" ref="H130:O130">SUM(H131:H139)</f>
        <v>84</v>
      </c>
      <c r="I130" s="59">
        <f t="shared" si="47"/>
        <v>1766.5</v>
      </c>
      <c r="J130" s="65">
        <f t="shared" si="47"/>
        <v>39</v>
      </c>
      <c r="K130" s="65">
        <f t="shared" si="47"/>
        <v>15</v>
      </c>
      <c r="L130" s="65">
        <f t="shared" si="47"/>
        <v>24</v>
      </c>
      <c r="M130" s="59">
        <f>SUM(M131:M139)</f>
        <v>1512.1000000000004</v>
      </c>
      <c r="N130" s="59">
        <f t="shared" si="47"/>
        <v>579.3</v>
      </c>
      <c r="O130" s="59">
        <f t="shared" si="47"/>
        <v>932.8000000000001</v>
      </c>
      <c r="P130" s="65">
        <f>SUM(P131:P139)</f>
        <v>51638215</v>
      </c>
      <c r="Q130" s="81">
        <f>SUM(Q131:Q139)</f>
        <v>24642099.86</v>
      </c>
      <c r="R130" s="81">
        <f>SUM(R131:R139)</f>
        <v>21832299.64</v>
      </c>
      <c r="S130" s="65">
        <v>5163815</v>
      </c>
      <c r="T130" s="65">
        <f>SUM(T131:T139)</f>
        <v>943564.5</v>
      </c>
    </row>
    <row r="131" spans="1:20" ht="31.5">
      <c r="A131" s="40">
        <v>111</v>
      </c>
      <c r="B131" s="132" t="s">
        <v>173</v>
      </c>
      <c r="C131" s="58">
        <v>1</v>
      </c>
      <c r="D131" s="72">
        <v>40885</v>
      </c>
      <c r="E131" s="130" t="s">
        <v>186</v>
      </c>
      <c r="F131" s="130" t="s">
        <v>625</v>
      </c>
      <c r="G131" s="58">
        <v>5</v>
      </c>
      <c r="H131" s="58">
        <v>5</v>
      </c>
      <c r="I131" s="59">
        <v>110.5</v>
      </c>
      <c r="J131" s="65">
        <v>2</v>
      </c>
      <c r="K131" s="65">
        <v>1</v>
      </c>
      <c r="L131" s="65">
        <v>1</v>
      </c>
      <c r="M131" s="59">
        <v>76</v>
      </c>
      <c r="N131" s="59">
        <v>34.6</v>
      </c>
      <c r="O131" s="59">
        <v>41.4</v>
      </c>
      <c r="P131" s="65">
        <f>M131*34150</f>
        <v>2595400</v>
      </c>
      <c r="Q131" s="65">
        <f>M131*16296.6+4</f>
        <v>1238545.6</v>
      </c>
      <c r="R131" s="65">
        <f>M131*14438.4-5</f>
        <v>1097313.4</v>
      </c>
      <c r="S131" s="65">
        <f>P131-Q131-R131</f>
        <v>259541</v>
      </c>
      <c r="T131" s="65">
        <f>4.28*34150</f>
        <v>146162</v>
      </c>
    </row>
    <row r="132" spans="1:20" ht="31.5">
      <c r="A132" s="40">
        <f>A131+1</f>
        <v>112</v>
      </c>
      <c r="B132" s="132" t="s">
        <v>175</v>
      </c>
      <c r="C132" s="58">
        <v>14</v>
      </c>
      <c r="D132" s="72">
        <v>40885</v>
      </c>
      <c r="E132" s="130" t="s">
        <v>186</v>
      </c>
      <c r="F132" s="130" t="s">
        <v>625</v>
      </c>
      <c r="G132" s="58">
        <v>12</v>
      </c>
      <c r="H132" s="58">
        <v>12</v>
      </c>
      <c r="I132" s="59">
        <v>203.1</v>
      </c>
      <c r="J132" s="65">
        <v>6</v>
      </c>
      <c r="K132" s="65">
        <v>5</v>
      </c>
      <c r="L132" s="65">
        <v>1</v>
      </c>
      <c r="M132" s="59">
        <v>189.9</v>
      </c>
      <c r="N132" s="59">
        <v>152.9</v>
      </c>
      <c r="O132" s="59">
        <v>37</v>
      </c>
      <c r="P132" s="65">
        <f aca="true" t="shared" si="48" ref="P132:P139">M132*34150</f>
        <v>6485085</v>
      </c>
      <c r="Q132" s="65">
        <f>M132*16296.6+5</f>
        <v>3094729.3400000003</v>
      </c>
      <c r="R132" s="65">
        <f aca="true" t="shared" si="49" ref="R132:R139">M132*14438.4</f>
        <v>2741852.16</v>
      </c>
      <c r="S132" s="65">
        <f aca="true" t="shared" si="50" ref="S132:S139">P132-Q132-R132</f>
        <v>648503.4999999995</v>
      </c>
      <c r="T132" s="65">
        <f>7.54*34150</f>
        <v>257491</v>
      </c>
    </row>
    <row r="133" spans="1:20" ht="31.5">
      <c r="A133" s="40">
        <f aca="true" t="shared" si="51" ref="A133:A139">A132+1</f>
        <v>113</v>
      </c>
      <c r="B133" s="132" t="s">
        <v>696</v>
      </c>
      <c r="C133" s="58">
        <v>6</v>
      </c>
      <c r="D133" s="72">
        <v>40885</v>
      </c>
      <c r="E133" s="130" t="s">
        <v>186</v>
      </c>
      <c r="F133" s="130" t="s">
        <v>625</v>
      </c>
      <c r="G133" s="58">
        <v>7</v>
      </c>
      <c r="H133" s="58">
        <v>7</v>
      </c>
      <c r="I133" s="59">
        <v>113</v>
      </c>
      <c r="J133" s="65">
        <v>4</v>
      </c>
      <c r="K133" s="65">
        <v>2</v>
      </c>
      <c r="L133" s="65">
        <v>2</v>
      </c>
      <c r="M133" s="59">
        <v>96.3</v>
      </c>
      <c r="N133" s="59">
        <v>47.5</v>
      </c>
      <c r="O133" s="59">
        <v>48.8</v>
      </c>
      <c r="P133" s="65">
        <f t="shared" si="48"/>
        <v>3288645</v>
      </c>
      <c r="Q133" s="65">
        <f>M133*16296.6+2</f>
        <v>1569364.58</v>
      </c>
      <c r="R133" s="65">
        <f t="shared" si="49"/>
        <v>1390417.92</v>
      </c>
      <c r="S133" s="65">
        <f t="shared" si="50"/>
        <v>328862.5</v>
      </c>
      <c r="T133" s="65">
        <f>10.52*34150</f>
        <v>359258</v>
      </c>
    </row>
    <row r="134" spans="1:20" ht="31.5">
      <c r="A134" s="40">
        <f t="shared" si="51"/>
        <v>114</v>
      </c>
      <c r="B134" s="132" t="s">
        <v>176</v>
      </c>
      <c r="C134" s="58">
        <v>4</v>
      </c>
      <c r="D134" s="72">
        <v>40885</v>
      </c>
      <c r="E134" s="130" t="s">
        <v>186</v>
      </c>
      <c r="F134" s="130" t="s">
        <v>625</v>
      </c>
      <c r="G134" s="58">
        <v>8</v>
      </c>
      <c r="H134" s="58">
        <v>8</v>
      </c>
      <c r="I134" s="59">
        <v>126.2</v>
      </c>
      <c r="J134" s="65">
        <v>2</v>
      </c>
      <c r="K134" s="65">
        <v>0</v>
      </c>
      <c r="L134" s="65">
        <v>2</v>
      </c>
      <c r="M134" s="59">
        <v>102.3</v>
      </c>
      <c r="N134" s="59">
        <v>0</v>
      </c>
      <c r="O134" s="59">
        <v>102.3</v>
      </c>
      <c r="P134" s="65">
        <f t="shared" si="48"/>
        <v>3493545</v>
      </c>
      <c r="Q134" s="65">
        <f aca="true" t="shared" si="52" ref="Q134:Q139">M134*16296.6</f>
        <v>1667142.18</v>
      </c>
      <c r="R134" s="65">
        <f t="shared" si="49"/>
        <v>1477048.3199999998</v>
      </c>
      <c r="S134" s="65">
        <f t="shared" si="50"/>
        <v>349354.50000000023</v>
      </c>
      <c r="T134" s="65">
        <v>0</v>
      </c>
    </row>
    <row r="135" spans="1:20" ht="31.5">
      <c r="A135" s="40">
        <f t="shared" si="51"/>
        <v>115</v>
      </c>
      <c r="B135" s="132" t="s">
        <v>707</v>
      </c>
      <c r="C135" s="58">
        <v>21</v>
      </c>
      <c r="D135" s="72">
        <v>40885</v>
      </c>
      <c r="E135" s="130" t="s">
        <v>186</v>
      </c>
      <c r="F135" s="130" t="s">
        <v>625</v>
      </c>
      <c r="G135" s="58">
        <v>4</v>
      </c>
      <c r="H135" s="58">
        <v>4</v>
      </c>
      <c r="I135" s="59">
        <v>126.2</v>
      </c>
      <c r="J135" s="65">
        <v>3</v>
      </c>
      <c r="K135" s="65">
        <v>0</v>
      </c>
      <c r="L135" s="65">
        <v>3</v>
      </c>
      <c r="M135" s="59">
        <v>93.1</v>
      </c>
      <c r="N135" s="59">
        <v>0</v>
      </c>
      <c r="O135" s="59">
        <v>93.1</v>
      </c>
      <c r="P135" s="65">
        <f t="shared" si="48"/>
        <v>3179365</v>
      </c>
      <c r="Q135" s="65">
        <f t="shared" si="52"/>
        <v>1517213.46</v>
      </c>
      <c r="R135" s="65">
        <f t="shared" si="49"/>
        <v>1344215.0399999998</v>
      </c>
      <c r="S135" s="65">
        <f t="shared" si="50"/>
        <v>317936.50000000023</v>
      </c>
      <c r="T135" s="65">
        <f>1.2*34150</f>
        <v>40980</v>
      </c>
    </row>
    <row r="136" spans="1:20" ht="31.5">
      <c r="A136" s="40">
        <f t="shared" si="51"/>
        <v>116</v>
      </c>
      <c r="B136" s="132" t="s">
        <v>178</v>
      </c>
      <c r="C136" s="58">
        <v>7</v>
      </c>
      <c r="D136" s="72">
        <v>40885</v>
      </c>
      <c r="E136" s="130" t="s">
        <v>186</v>
      </c>
      <c r="F136" s="130" t="s">
        <v>625</v>
      </c>
      <c r="G136" s="58">
        <v>10</v>
      </c>
      <c r="H136" s="58">
        <v>10</v>
      </c>
      <c r="I136" s="59">
        <v>289</v>
      </c>
      <c r="J136" s="65">
        <v>3</v>
      </c>
      <c r="K136" s="65">
        <v>1</v>
      </c>
      <c r="L136" s="65">
        <v>2</v>
      </c>
      <c r="M136" s="59">
        <v>259.8</v>
      </c>
      <c r="N136" s="59">
        <v>77</v>
      </c>
      <c r="O136" s="59">
        <v>182.8</v>
      </c>
      <c r="P136" s="65">
        <f t="shared" si="48"/>
        <v>8872170</v>
      </c>
      <c r="Q136" s="65">
        <f t="shared" si="52"/>
        <v>4233856.680000001</v>
      </c>
      <c r="R136" s="65">
        <f t="shared" si="49"/>
        <v>3751096.3200000003</v>
      </c>
      <c r="S136" s="65">
        <f t="shared" si="50"/>
        <v>887216.9999999991</v>
      </c>
      <c r="T136" s="65">
        <v>0</v>
      </c>
    </row>
    <row r="137" spans="1:20" ht="31.5">
      <c r="A137" s="40">
        <f t="shared" si="51"/>
        <v>117</v>
      </c>
      <c r="B137" s="132" t="s">
        <v>179</v>
      </c>
      <c r="C137" s="58">
        <v>5</v>
      </c>
      <c r="D137" s="72">
        <v>40885</v>
      </c>
      <c r="E137" s="130" t="s">
        <v>186</v>
      </c>
      <c r="F137" s="130" t="s">
        <v>625</v>
      </c>
      <c r="G137" s="58">
        <v>16</v>
      </c>
      <c r="H137" s="58">
        <v>16</v>
      </c>
      <c r="I137" s="59">
        <v>245</v>
      </c>
      <c r="J137" s="65">
        <v>6</v>
      </c>
      <c r="K137" s="65">
        <v>2</v>
      </c>
      <c r="L137" s="65">
        <v>4</v>
      </c>
      <c r="M137" s="59">
        <v>227.4</v>
      </c>
      <c r="N137" s="59">
        <v>106.9</v>
      </c>
      <c r="O137" s="59">
        <v>120.5</v>
      </c>
      <c r="P137" s="65">
        <f t="shared" si="48"/>
        <v>7765710</v>
      </c>
      <c r="Q137" s="65">
        <f t="shared" si="52"/>
        <v>3705846.8400000003</v>
      </c>
      <c r="R137" s="65">
        <f t="shared" si="49"/>
        <v>3283292.16</v>
      </c>
      <c r="S137" s="65">
        <f t="shared" si="50"/>
        <v>776570.9999999995</v>
      </c>
      <c r="T137" s="65">
        <f>2.66*34150</f>
        <v>90839</v>
      </c>
    </row>
    <row r="138" spans="1:20" ht="31.5">
      <c r="A138" s="40">
        <f t="shared" si="51"/>
        <v>118</v>
      </c>
      <c r="B138" s="132" t="s">
        <v>180</v>
      </c>
      <c r="C138" s="58">
        <v>13</v>
      </c>
      <c r="D138" s="72">
        <v>40885</v>
      </c>
      <c r="E138" s="130" t="s">
        <v>186</v>
      </c>
      <c r="F138" s="130" t="s">
        <v>625</v>
      </c>
      <c r="G138" s="58">
        <v>9</v>
      </c>
      <c r="H138" s="58">
        <v>9</v>
      </c>
      <c r="I138" s="59">
        <v>248.7</v>
      </c>
      <c r="J138" s="65">
        <v>5</v>
      </c>
      <c r="K138" s="65">
        <v>2</v>
      </c>
      <c r="L138" s="65">
        <v>3</v>
      </c>
      <c r="M138" s="59">
        <v>200.2</v>
      </c>
      <c r="N138" s="59">
        <v>93.9</v>
      </c>
      <c r="O138" s="59">
        <v>106.3</v>
      </c>
      <c r="P138" s="65">
        <f t="shared" si="48"/>
        <v>6836830</v>
      </c>
      <c r="Q138" s="65">
        <f t="shared" si="52"/>
        <v>3262579.32</v>
      </c>
      <c r="R138" s="65">
        <f t="shared" si="49"/>
        <v>2890567.6799999997</v>
      </c>
      <c r="S138" s="65">
        <f t="shared" si="50"/>
        <v>683683.0000000005</v>
      </c>
      <c r="T138" s="65">
        <f>1.43*34150</f>
        <v>48834.5</v>
      </c>
    </row>
    <row r="139" spans="1:20" ht="31.5">
      <c r="A139" s="40">
        <f t="shared" si="51"/>
        <v>119</v>
      </c>
      <c r="B139" s="132" t="s">
        <v>181</v>
      </c>
      <c r="C139" s="58">
        <v>3</v>
      </c>
      <c r="D139" s="72">
        <v>40885</v>
      </c>
      <c r="E139" s="130" t="s">
        <v>186</v>
      </c>
      <c r="F139" s="130" t="s">
        <v>625</v>
      </c>
      <c r="G139" s="58">
        <v>13</v>
      </c>
      <c r="H139" s="58">
        <v>13</v>
      </c>
      <c r="I139" s="59">
        <v>304.8</v>
      </c>
      <c r="J139" s="65">
        <v>8</v>
      </c>
      <c r="K139" s="65">
        <v>2</v>
      </c>
      <c r="L139" s="65">
        <v>6</v>
      </c>
      <c r="M139" s="59">
        <v>267.1</v>
      </c>
      <c r="N139" s="59">
        <v>66.5</v>
      </c>
      <c r="O139" s="59">
        <v>200.6</v>
      </c>
      <c r="P139" s="65">
        <f t="shared" si="48"/>
        <v>9121465</v>
      </c>
      <c r="Q139" s="65">
        <f t="shared" si="52"/>
        <v>4352821.86</v>
      </c>
      <c r="R139" s="65">
        <f t="shared" si="49"/>
        <v>3856496.64</v>
      </c>
      <c r="S139" s="65">
        <f t="shared" si="50"/>
        <v>912146.4999999995</v>
      </c>
      <c r="T139" s="65">
        <v>0</v>
      </c>
    </row>
    <row r="140" spans="1:20" ht="15.75">
      <c r="A140" s="149" t="s">
        <v>182</v>
      </c>
      <c r="B140" s="149"/>
      <c r="C140" s="58"/>
      <c r="D140" s="58"/>
      <c r="E140" s="58"/>
      <c r="F140" s="58"/>
      <c r="G140" s="58">
        <f>G141+G142+G143</f>
        <v>11</v>
      </c>
      <c r="H140" s="58">
        <f aca="true" t="shared" si="53" ref="H140:S140">H141+H142+H143</f>
        <v>11</v>
      </c>
      <c r="I140" s="59">
        <f t="shared" si="53"/>
        <v>479.52</v>
      </c>
      <c r="J140" s="58">
        <f t="shared" si="53"/>
        <v>6</v>
      </c>
      <c r="K140" s="58">
        <f t="shared" si="53"/>
        <v>2</v>
      </c>
      <c r="L140" s="58">
        <f t="shared" si="53"/>
        <v>4</v>
      </c>
      <c r="M140" s="59">
        <f t="shared" si="53"/>
        <v>293.45000000000005</v>
      </c>
      <c r="N140" s="59">
        <f t="shared" si="53"/>
        <v>108.30000000000001</v>
      </c>
      <c r="O140" s="59">
        <f t="shared" si="53"/>
        <v>185.15</v>
      </c>
      <c r="P140" s="65">
        <f>P141+P142+P143</f>
        <v>10021317.5</v>
      </c>
      <c r="Q140" s="65">
        <f t="shared" si="53"/>
        <v>4782200</v>
      </c>
      <c r="R140" s="65">
        <f t="shared" si="53"/>
        <v>4236900</v>
      </c>
      <c r="S140" s="65">
        <f t="shared" si="53"/>
        <v>1002218</v>
      </c>
      <c r="T140" s="65">
        <v>0</v>
      </c>
    </row>
    <row r="141" spans="1:20" ht="31.5">
      <c r="A141" s="43">
        <v>120</v>
      </c>
      <c r="B141" s="57" t="s">
        <v>183</v>
      </c>
      <c r="C141" s="71">
        <v>1</v>
      </c>
      <c r="D141" s="72">
        <v>40869</v>
      </c>
      <c r="E141" s="130" t="s">
        <v>186</v>
      </c>
      <c r="F141" s="130" t="s">
        <v>625</v>
      </c>
      <c r="G141" s="58">
        <v>4</v>
      </c>
      <c r="H141" s="58">
        <v>4</v>
      </c>
      <c r="I141" s="59">
        <v>107.2</v>
      </c>
      <c r="J141" s="71">
        <v>2</v>
      </c>
      <c r="K141" s="71">
        <v>1</v>
      </c>
      <c r="L141" s="71">
        <v>1</v>
      </c>
      <c r="M141" s="73">
        <v>107.2</v>
      </c>
      <c r="N141" s="73">
        <v>53.6</v>
      </c>
      <c r="O141" s="73">
        <v>53.6</v>
      </c>
      <c r="P141" s="65">
        <f>M141*34150</f>
        <v>3660880</v>
      </c>
      <c r="Q141" s="65">
        <v>1746982</v>
      </c>
      <c r="R141" s="65">
        <v>1547779</v>
      </c>
      <c r="S141" s="65">
        <v>366119</v>
      </c>
      <c r="T141" s="65">
        <v>0</v>
      </c>
    </row>
    <row r="142" spans="1:20" ht="31.5">
      <c r="A142" s="43">
        <f>A141+1</f>
        <v>121</v>
      </c>
      <c r="B142" s="57" t="s">
        <v>184</v>
      </c>
      <c r="C142" s="71">
        <v>3</v>
      </c>
      <c r="D142" s="72">
        <v>40869</v>
      </c>
      <c r="E142" s="130" t="s">
        <v>186</v>
      </c>
      <c r="F142" s="130" t="s">
        <v>625</v>
      </c>
      <c r="G142" s="58">
        <v>4</v>
      </c>
      <c r="H142" s="58">
        <v>4</v>
      </c>
      <c r="I142" s="59">
        <v>218.8</v>
      </c>
      <c r="J142" s="71">
        <v>2</v>
      </c>
      <c r="K142" s="71">
        <v>1</v>
      </c>
      <c r="L142" s="71">
        <v>1</v>
      </c>
      <c r="M142" s="73">
        <v>109.4</v>
      </c>
      <c r="N142" s="73">
        <v>54.7</v>
      </c>
      <c r="O142" s="73">
        <v>54.7</v>
      </c>
      <c r="P142" s="65">
        <f>M142*34150</f>
        <v>3736010</v>
      </c>
      <c r="Q142" s="65">
        <v>1782834</v>
      </c>
      <c r="R142" s="65">
        <v>1579543</v>
      </c>
      <c r="S142" s="65">
        <v>373633</v>
      </c>
      <c r="T142" s="65">
        <v>0</v>
      </c>
    </row>
    <row r="143" spans="1:20" ht="31.5">
      <c r="A143" s="43">
        <f>A142+1</f>
        <v>122</v>
      </c>
      <c r="B143" s="57" t="s">
        <v>185</v>
      </c>
      <c r="C143" s="71">
        <v>4</v>
      </c>
      <c r="D143" s="72">
        <v>40869</v>
      </c>
      <c r="E143" s="130" t="s">
        <v>186</v>
      </c>
      <c r="F143" s="130" t="s">
        <v>625</v>
      </c>
      <c r="G143" s="58">
        <v>3</v>
      </c>
      <c r="H143" s="58">
        <v>3</v>
      </c>
      <c r="I143" s="59">
        <v>153.52</v>
      </c>
      <c r="J143" s="71">
        <v>2</v>
      </c>
      <c r="K143" s="71">
        <v>0</v>
      </c>
      <c r="L143" s="71">
        <v>2</v>
      </c>
      <c r="M143" s="73">
        <v>76.85</v>
      </c>
      <c r="N143" s="73">
        <v>0</v>
      </c>
      <c r="O143" s="73">
        <v>76.85</v>
      </c>
      <c r="P143" s="65">
        <f>M143*34150</f>
        <v>2624427.5</v>
      </c>
      <c r="Q143" s="65">
        <v>1252384</v>
      </c>
      <c r="R143" s="65">
        <v>1109578</v>
      </c>
      <c r="S143" s="65">
        <v>262466</v>
      </c>
      <c r="T143" s="65">
        <v>0</v>
      </c>
    </row>
    <row r="144" spans="1:20" ht="15.75">
      <c r="A144" s="151" t="s">
        <v>247</v>
      </c>
      <c r="B144" s="151"/>
      <c r="C144" s="58"/>
      <c r="D144" s="72"/>
      <c r="E144" s="58"/>
      <c r="F144" s="58"/>
      <c r="G144" s="58">
        <f>G145+G146+G147+G148</f>
        <v>20</v>
      </c>
      <c r="H144" s="58">
        <f aca="true" t="shared" si="54" ref="H144:N144">H145+H146+H147+H148</f>
        <v>20</v>
      </c>
      <c r="I144" s="59">
        <f t="shared" si="54"/>
        <v>479.79999999999995</v>
      </c>
      <c r="J144" s="58">
        <f t="shared" si="54"/>
        <v>12</v>
      </c>
      <c r="K144" s="58">
        <f t="shared" si="54"/>
        <v>0</v>
      </c>
      <c r="L144" s="58">
        <f t="shared" si="54"/>
        <v>12</v>
      </c>
      <c r="M144" s="59">
        <f t="shared" si="54"/>
        <v>479.79999999999995</v>
      </c>
      <c r="N144" s="59">
        <f t="shared" si="54"/>
        <v>0</v>
      </c>
      <c r="O144" s="59">
        <f aca="true" t="shared" si="55" ref="O144:T144">O145+O146+O147+O148</f>
        <v>479.79999999999995</v>
      </c>
      <c r="P144" s="65">
        <f t="shared" si="55"/>
        <v>16385170</v>
      </c>
      <c r="Q144" s="65">
        <f t="shared" si="55"/>
        <v>7819099.999842959</v>
      </c>
      <c r="R144" s="65">
        <f t="shared" si="55"/>
        <v>6927499.9998669</v>
      </c>
      <c r="S144" s="65">
        <f t="shared" si="55"/>
        <v>1638570.0002901405</v>
      </c>
      <c r="T144" s="65">
        <f t="shared" si="55"/>
        <v>0</v>
      </c>
    </row>
    <row r="145" spans="1:20" ht="31.5">
      <c r="A145" s="43">
        <v>123</v>
      </c>
      <c r="B145" s="57" t="s">
        <v>248</v>
      </c>
      <c r="C145" s="71">
        <v>1</v>
      </c>
      <c r="D145" s="72">
        <v>40904</v>
      </c>
      <c r="E145" s="130" t="s">
        <v>186</v>
      </c>
      <c r="F145" s="130" t="s">
        <v>625</v>
      </c>
      <c r="G145" s="58">
        <v>4</v>
      </c>
      <c r="H145" s="58">
        <v>4</v>
      </c>
      <c r="I145" s="59">
        <v>104.1</v>
      </c>
      <c r="J145" s="71">
        <v>3</v>
      </c>
      <c r="K145" s="71">
        <v>0</v>
      </c>
      <c r="L145" s="71">
        <v>3</v>
      </c>
      <c r="M145" s="59">
        <v>104.1</v>
      </c>
      <c r="N145" s="59">
        <v>0</v>
      </c>
      <c r="O145" s="59">
        <v>104.1</v>
      </c>
      <c r="P145" s="65">
        <f>M145*34150</f>
        <v>3555015</v>
      </c>
      <c r="Q145" s="65">
        <f>P145*0.47720591241</f>
        <v>1696474.176706236</v>
      </c>
      <c r="R145" s="65">
        <f>P145*0.42279085294</f>
        <v>1503027.824064494</v>
      </c>
      <c r="S145" s="65">
        <f>P145-Q145-R145</f>
        <v>355512.9992292698</v>
      </c>
      <c r="T145" s="65">
        <v>0</v>
      </c>
    </row>
    <row r="146" spans="1:20" ht="31.5">
      <c r="A146" s="43">
        <f>A145+1</f>
        <v>124</v>
      </c>
      <c r="B146" s="57" t="s">
        <v>249</v>
      </c>
      <c r="C146" s="71">
        <v>4</v>
      </c>
      <c r="D146" s="72">
        <v>40904</v>
      </c>
      <c r="E146" s="130" t="s">
        <v>186</v>
      </c>
      <c r="F146" s="130" t="s">
        <v>625</v>
      </c>
      <c r="G146" s="58">
        <v>5</v>
      </c>
      <c r="H146" s="58">
        <v>5</v>
      </c>
      <c r="I146" s="59">
        <v>128.3</v>
      </c>
      <c r="J146" s="71">
        <v>3</v>
      </c>
      <c r="K146" s="71">
        <v>0</v>
      </c>
      <c r="L146" s="71">
        <v>3</v>
      </c>
      <c r="M146" s="59">
        <v>128.3</v>
      </c>
      <c r="N146" s="59">
        <v>0</v>
      </c>
      <c r="O146" s="59">
        <v>128.3</v>
      </c>
      <c r="P146" s="65">
        <f>M146*34150</f>
        <v>4381445</v>
      </c>
      <c r="Q146" s="65">
        <f>P146*0.47720591241</f>
        <v>2090851.4588992323</v>
      </c>
      <c r="R146" s="65">
        <f>P146*0.42279085294</f>
        <v>1852434.8686596984</v>
      </c>
      <c r="S146" s="65">
        <f>P146-Q146-R146</f>
        <v>438158.67244106904</v>
      </c>
      <c r="T146" s="65">
        <v>0</v>
      </c>
    </row>
    <row r="147" spans="1:20" ht="31.5">
      <c r="A147" s="43">
        <f>A146+1</f>
        <v>125</v>
      </c>
      <c r="B147" s="57" t="s">
        <v>250</v>
      </c>
      <c r="C147" s="71">
        <v>3</v>
      </c>
      <c r="D147" s="72">
        <v>40904</v>
      </c>
      <c r="E147" s="130" t="s">
        <v>186</v>
      </c>
      <c r="F147" s="130" t="s">
        <v>625</v>
      </c>
      <c r="G147" s="58">
        <v>5</v>
      </c>
      <c r="H147" s="58">
        <v>5</v>
      </c>
      <c r="I147" s="59">
        <v>142</v>
      </c>
      <c r="J147" s="71">
        <v>3</v>
      </c>
      <c r="K147" s="71">
        <v>0</v>
      </c>
      <c r="L147" s="71">
        <v>3</v>
      </c>
      <c r="M147" s="59">
        <v>142</v>
      </c>
      <c r="N147" s="59">
        <v>0</v>
      </c>
      <c r="O147" s="59">
        <v>142</v>
      </c>
      <c r="P147" s="65">
        <f>M147*34150</f>
        <v>4849300</v>
      </c>
      <c r="Q147" s="65">
        <f>P147*0.47720591241</f>
        <v>2314114.631049813</v>
      </c>
      <c r="R147" s="65">
        <f>P147*0.42279085294</f>
        <v>2050239.683161942</v>
      </c>
      <c r="S147" s="65">
        <f>P147-Q147-R147</f>
        <v>484945.6857882452</v>
      </c>
      <c r="T147" s="65">
        <v>0</v>
      </c>
    </row>
    <row r="148" spans="1:20" ht="31.5">
      <c r="A148" s="43">
        <f>A147+1</f>
        <v>126</v>
      </c>
      <c r="B148" s="57" t="s">
        <v>251</v>
      </c>
      <c r="C148" s="71">
        <v>2</v>
      </c>
      <c r="D148" s="72">
        <v>40904</v>
      </c>
      <c r="E148" s="130" t="s">
        <v>186</v>
      </c>
      <c r="F148" s="130" t="s">
        <v>625</v>
      </c>
      <c r="G148" s="58">
        <v>6</v>
      </c>
      <c r="H148" s="58">
        <v>6</v>
      </c>
      <c r="I148" s="59">
        <v>105.4</v>
      </c>
      <c r="J148" s="71">
        <v>3</v>
      </c>
      <c r="K148" s="71">
        <v>0</v>
      </c>
      <c r="L148" s="71">
        <v>3</v>
      </c>
      <c r="M148" s="59">
        <v>105.4</v>
      </c>
      <c r="N148" s="59">
        <v>0</v>
      </c>
      <c r="O148" s="59">
        <v>105.4</v>
      </c>
      <c r="P148" s="65">
        <f>M148*34150</f>
        <v>3599410</v>
      </c>
      <c r="Q148" s="65">
        <f>P148*0.47720591241</f>
        <v>1717659.733187678</v>
      </c>
      <c r="R148" s="65">
        <f>P148*0.42279085294</f>
        <v>1521797.6239807655</v>
      </c>
      <c r="S148" s="65">
        <f>P148-Q148-R148</f>
        <v>359952.6428315565</v>
      </c>
      <c r="T148" s="65">
        <v>0</v>
      </c>
    </row>
    <row r="149" spans="1:20" ht="15.75">
      <c r="A149" s="149" t="s">
        <v>189</v>
      </c>
      <c r="B149" s="149"/>
      <c r="C149" s="58"/>
      <c r="D149" s="72"/>
      <c r="E149" s="58"/>
      <c r="F149" s="58"/>
      <c r="G149" s="58">
        <f>G150+G151+G152+G153+G154</f>
        <v>55</v>
      </c>
      <c r="H149" s="58">
        <f aca="true" t="shared" si="56" ref="H149:H154">G149</f>
        <v>55</v>
      </c>
      <c r="I149" s="59">
        <f>I154+I153+I152+I151+I150</f>
        <v>665.5</v>
      </c>
      <c r="J149" s="58">
        <f>J150+J151+J152+J153+J154</f>
        <v>21</v>
      </c>
      <c r="K149" s="58">
        <f>K150+K151+K152+K153+K154</f>
        <v>3</v>
      </c>
      <c r="L149" s="58">
        <f>L150+L151+L152+L153+L154</f>
        <v>18</v>
      </c>
      <c r="M149" s="59">
        <f>M150+M151+M152+M153+M154</f>
        <v>665.5</v>
      </c>
      <c r="N149" s="59">
        <f>N150+N151+N152+N153+N154</f>
        <v>82.6</v>
      </c>
      <c r="O149" s="59">
        <f aca="true" t="shared" si="57" ref="O149:T149">O150+O151+O152+O153+O154</f>
        <v>582.9000000000001</v>
      </c>
      <c r="P149" s="65">
        <f t="shared" si="57"/>
        <v>22726825</v>
      </c>
      <c r="Q149" s="65">
        <f t="shared" si="57"/>
        <v>10845399.977775</v>
      </c>
      <c r="R149" s="65">
        <f t="shared" si="57"/>
        <v>9608700.341257501</v>
      </c>
      <c r="S149" s="65">
        <f t="shared" si="57"/>
        <v>2272724.6809674995</v>
      </c>
      <c r="T149" s="65">
        <f t="shared" si="57"/>
        <v>40980</v>
      </c>
    </row>
    <row r="150" spans="1:20" ht="47.25">
      <c r="A150" s="43">
        <v>127</v>
      </c>
      <c r="B150" s="57" t="s">
        <v>190</v>
      </c>
      <c r="C150" s="71">
        <v>6</v>
      </c>
      <c r="D150" s="72">
        <v>40463</v>
      </c>
      <c r="E150" s="130" t="s">
        <v>186</v>
      </c>
      <c r="F150" s="130" t="s">
        <v>625</v>
      </c>
      <c r="G150" s="58">
        <v>20</v>
      </c>
      <c r="H150" s="58">
        <f t="shared" si="56"/>
        <v>20</v>
      </c>
      <c r="I150" s="59">
        <v>201.4</v>
      </c>
      <c r="J150" s="71">
        <v>6</v>
      </c>
      <c r="K150" s="71">
        <v>2</v>
      </c>
      <c r="L150" s="71">
        <v>4</v>
      </c>
      <c r="M150" s="59">
        <v>201.4</v>
      </c>
      <c r="N150" s="59">
        <v>66.2</v>
      </c>
      <c r="O150" s="73">
        <f>M150-N150</f>
        <v>135.2</v>
      </c>
      <c r="P150" s="65">
        <f>M150*34150</f>
        <v>6877810</v>
      </c>
      <c r="Q150" s="65">
        <f>M150*34150*47.7207%</f>
        <v>3282139.07667</v>
      </c>
      <c r="R150" s="65">
        <f>M150*34150*42.27911%</f>
        <v>2907876.855491</v>
      </c>
      <c r="S150" s="65">
        <f>P150-Q150-R150</f>
        <v>687794.0678389999</v>
      </c>
      <c r="T150" s="65">
        <v>40980</v>
      </c>
    </row>
    <row r="151" spans="1:20" ht="47.25">
      <c r="A151" s="43">
        <f>A150+1</f>
        <v>128</v>
      </c>
      <c r="B151" s="57" t="s">
        <v>191</v>
      </c>
      <c r="C151" s="71">
        <v>7</v>
      </c>
      <c r="D151" s="72">
        <v>40463</v>
      </c>
      <c r="E151" s="130" t="s">
        <v>186</v>
      </c>
      <c r="F151" s="130" t="s">
        <v>625</v>
      </c>
      <c r="G151" s="58">
        <v>8</v>
      </c>
      <c r="H151" s="58">
        <f t="shared" si="56"/>
        <v>8</v>
      </c>
      <c r="I151" s="59">
        <v>135.8</v>
      </c>
      <c r="J151" s="71">
        <v>4</v>
      </c>
      <c r="K151" s="71">
        <v>0</v>
      </c>
      <c r="L151" s="71">
        <v>4</v>
      </c>
      <c r="M151" s="59">
        <v>135.8</v>
      </c>
      <c r="N151" s="59">
        <v>0</v>
      </c>
      <c r="O151" s="73">
        <f>M151-N151</f>
        <v>135.8</v>
      </c>
      <c r="P151" s="65">
        <f>M151*34150</f>
        <v>4637570</v>
      </c>
      <c r="Q151" s="65">
        <f>M151*34150*47.7207%</f>
        <v>2213080.86699</v>
      </c>
      <c r="R151" s="65">
        <f>M151*34150*42.27911%</f>
        <v>1960723.321627</v>
      </c>
      <c r="S151" s="65">
        <f>P151-Q151-R151</f>
        <v>463765.8113829999</v>
      </c>
      <c r="T151" s="65">
        <v>0</v>
      </c>
    </row>
    <row r="152" spans="1:20" ht="47.25">
      <c r="A152" s="43">
        <f>A151+1</f>
        <v>129</v>
      </c>
      <c r="B152" s="57" t="s">
        <v>192</v>
      </c>
      <c r="C152" s="71">
        <v>11</v>
      </c>
      <c r="D152" s="72">
        <v>40708</v>
      </c>
      <c r="E152" s="130" t="s">
        <v>186</v>
      </c>
      <c r="F152" s="130" t="s">
        <v>625</v>
      </c>
      <c r="G152" s="58">
        <v>9</v>
      </c>
      <c r="H152" s="58">
        <f t="shared" si="56"/>
        <v>9</v>
      </c>
      <c r="I152" s="59">
        <v>106.6</v>
      </c>
      <c r="J152" s="71">
        <v>3</v>
      </c>
      <c r="K152" s="71">
        <v>0</v>
      </c>
      <c r="L152" s="71">
        <v>3</v>
      </c>
      <c r="M152" s="59">
        <v>106.6</v>
      </c>
      <c r="N152" s="59">
        <v>0</v>
      </c>
      <c r="O152" s="73">
        <f>M152-N152</f>
        <v>106.6</v>
      </c>
      <c r="P152" s="65">
        <f>M152*34150</f>
        <v>3640390</v>
      </c>
      <c r="Q152" s="65">
        <f>M152*34150*47.7207%</f>
        <v>1737219.59073</v>
      </c>
      <c r="R152" s="65">
        <f>M152*34150*42.27911%</f>
        <v>1539124.4925290002</v>
      </c>
      <c r="S152" s="65">
        <f>P152-Q152-R152</f>
        <v>364045.9167409998</v>
      </c>
      <c r="T152" s="65">
        <v>0</v>
      </c>
    </row>
    <row r="153" spans="1:20" ht="63">
      <c r="A153" s="43">
        <f>A152+1</f>
        <v>130</v>
      </c>
      <c r="B153" s="57" t="s">
        <v>193</v>
      </c>
      <c r="C153" s="71">
        <v>10</v>
      </c>
      <c r="D153" s="72">
        <v>40708</v>
      </c>
      <c r="E153" s="130" t="s">
        <v>186</v>
      </c>
      <c r="F153" s="130" t="s">
        <v>625</v>
      </c>
      <c r="G153" s="58">
        <v>6</v>
      </c>
      <c r="H153" s="58">
        <f t="shared" si="56"/>
        <v>6</v>
      </c>
      <c r="I153" s="59">
        <v>83</v>
      </c>
      <c r="J153" s="71">
        <v>3</v>
      </c>
      <c r="K153" s="71">
        <v>1</v>
      </c>
      <c r="L153" s="71">
        <v>2</v>
      </c>
      <c r="M153" s="59">
        <v>83</v>
      </c>
      <c r="N153" s="59">
        <v>16.4</v>
      </c>
      <c r="O153" s="73">
        <f>M153-N153</f>
        <v>66.6</v>
      </c>
      <c r="P153" s="65">
        <f>M153*34150</f>
        <v>2834450</v>
      </c>
      <c r="Q153" s="65">
        <f>M153*34150*47.7207%</f>
        <v>1352619.38115</v>
      </c>
      <c r="R153" s="65">
        <f>M153*34150*42.27911%+1</f>
        <v>1198381.233395</v>
      </c>
      <c r="S153" s="65">
        <f>P153-Q153-R153</f>
        <v>283449.385455</v>
      </c>
      <c r="T153" s="65">
        <v>0</v>
      </c>
    </row>
    <row r="154" spans="1:20" ht="47.25">
      <c r="A154" s="43">
        <f>A153+1</f>
        <v>131</v>
      </c>
      <c r="B154" s="57" t="s">
        <v>194</v>
      </c>
      <c r="C154" s="71">
        <v>8</v>
      </c>
      <c r="D154" s="72">
        <v>40463</v>
      </c>
      <c r="E154" s="130" t="s">
        <v>186</v>
      </c>
      <c r="F154" s="130" t="s">
        <v>625</v>
      </c>
      <c r="G154" s="58">
        <v>12</v>
      </c>
      <c r="H154" s="58">
        <f t="shared" si="56"/>
        <v>12</v>
      </c>
      <c r="I154" s="59">
        <v>138.7</v>
      </c>
      <c r="J154" s="71">
        <v>5</v>
      </c>
      <c r="K154" s="71">
        <v>0</v>
      </c>
      <c r="L154" s="71">
        <v>5</v>
      </c>
      <c r="M154" s="59">
        <v>138.7</v>
      </c>
      <c r="N154" s="59">
        <v>0</v>
      </c>
      <c r="O154" s="73">
        <f>M154-N154</f>
        <v>138.7</v>
      </c>
      <c r="P154" s="65">
        <f>M154*34150</f>
        <v>4736605</v>
      </c>
      <c r="Q154" s="65">
        <f>M154*34150*47.7207%</f>
        <v>2260341.062235</v>
      </c>
      <c r="R154" s="65">
        <f>M154*34150*42.27911%</f>
        <v>2002594.4382155002</v>
      </c>
      <c r="S154" s="65">
        <f>P154-Q154-R154</f>
        <v>473669.4995494997</v>
      </c>
      <c r="T154" s="65">
        <v>0</v>
      </c>
    </row>
    <row r="155" spans="1:20" ht="15.75">
      <c r="A155" s="151" t="s">
        <v>195</v>
      </c>
      <c r="B155" s="151"/>
      <c r="C155" s="58"/>
      <c r="D155" s="58"/>
      <c r="E155" s="58"/>
      <c r="F155" s="58"/>
      <c r="G155" s="58">
        <f>G156+G157+G158+G159</f>
        <v>44</v>
      </c>
      <c r="H155" s="58">
        <f aca="true" t="shared" si="58" ref="H155:O155">H156+H157+H158+H159</f>
        <v>44</v>
      </c>
      <c r="I155" s="59">
        <f t="shared" si="58"/>
        <v>438.9</v>
      </c>
      <c r="J155" s="58">
        <f t="shared" si="58"/>
        <v>16</v>
      </c>
      <c r="K155" s="58">
        <f t="shared" si="58"/>
        <v>11</v>
      </c>
      <c r="L155" s="58">
        <f t="shared" si="58"/>
        <v>5</v>
      </c>
      <c r="M155" s="59">
        <f t="shared" si="58"/>
        <v>438.9</v>
      </c>
      <c r="N155" s="59">
        <f t="shared" si="58"/>
        <v>292.1</v>
      </c>
      <c r="O155" s="59">
        <f t="shared" si="58"/>
        <v>146.8</v>
      </c>
      <c r="P155" s="65">
        <f>P156+P157+P158+P159</f>
        <v>14988435</v>
      </c>
      <c r="Q155" s="58">
        <f>Q156+Q157+Q158+Q159</f>
        <v>7152600</v>
      </c>
      <c r="R155" s="58">
        <f>R156+R157+R158+R159</f>
        <v>6337000</v>
      </c>
      <c r="S155" s="58">
        <f>S156+S157+S158+S159</f>
        <v>1498835</v>
      </c>
      <c r="T155" s="58">
        <f>T156+T157+T158+T159</f>
        <v>0</v>
      </c>
    </row>
    <row r="156" spans="1:20" ht="47.25">
      <c r="A156" s="40">
        <v>132</v>
      </c>
      <c r="B156" s="132" t="s">
        <v>196</v>
      </c>
      <c r="C156" s="74">
        <v>25</v>
      </c>
      <c r="D156" s="72">
        <v>38012</v>
      </c>
      <c r="E156" s="130" t="s">
        <v>186</v>
      </c>
      <c r="F156" s="130" t="s">
        <v>625</v>
      </c>
      <c r="G156" s="58">
        <v>8</v>
      </c>
      <c r="H156" s="58">
        <v>8</v>
      </c>
      <c r="I156" s="59">
        <v>101.5</v>
      </c>
      <c r="J156" s="58">
        <v>4</v>
      </c>
      <c r="K156" s="58">
        <v>0</v>
      </c>
      <c r="L156" s="58">
        <v>4</v>
      </c>
      <c r="M156" s="59">
        <v>101.5</v>
      </c>
      <c r="N156" s="59">
        <v>0</v>
      </c>
      <c r="O156" s="59">
        <v>101.5</v>
      </c>
      <c r="P156" s="65">
        <f>M156*34150</f>
        <v>3466225</v>
      </c>
      <c r="Q156" s="126">
        <v>1654110</v>
      </c>
      <c r="R156" s="126">
        <v>1465494</v>
      </c>
      <c r="S156" s="65">
        <v>346621</v>
      </c>
      <c r="T156" s="65">
        <v>0</v>
      </c>
    </row>
    <row r="157" spans="1:20" ht="47.25">
      <c r="A157" s="40">
        <f>A156+1</f>
        <v>133</v>
      </c>
      <c r="B157" s="132" t="s">
        <v>197</v>
      </c>
      <c r="C157" s="74">
        <v>5</v>
      </c>
      <c r="D157" s="72">
        <v>40903</v>
      </c>
      <c r="E157" s="130" t="s">
        <v>186</v>
      </c>
      <c r="F157" s="130" t="s">
        <v>625</v>
      </c>
      <c r="G157" s="58">
        <v>15</v>
      </c>
      <c r="H157" s="58">
        <v>15</v>
      </c>
      <c r="I157" s="59">
        <v>125</v>
      </c>
      <c r="J157" s="58">
        <v>4</v>
      </c>
      <c r="K157" s="58">
        <v>3</v>
      </c>
      <c r="L157" s="58">
        <v>1</v>
      </c>
      <c r="M157" s="59">
        <v>125</v>
      </c>
      <c r="N157" s="59">
        <v>79.7</v>
      </c>
      <c r="O157" s="59">
        <v>45.3</v>
      </c>
      <c r="P157" s="65">
        <f>M157*34150</f>
        <v>4268750</v>
      </c>
      <c r="Q157" s="126">
        <v>2037081</v>
      </c>
      <c r="R157" s="126">
        <v>1804796</v>
      </c>
      <c r="S157" s="65">
        <f>P157-Q157-R157</f>
        <v>426873</v>
      </c>
      <c r="T157" s="65">
        <v>0</v>
      </c>
    </row>
    <row r="158" spans="1:20" ht="47.25">
      <c r="A158" s="40">
        <f>A157+1</f>
        <v>134</v>
      </c>
      <c r="B158" s="132" t="s">
        <v>198</v>
      </c>
      <c r="C158" s="74">
        <v>6</v>
      </c>
      <c r="D158" s="72">
        <v>40904</v>
      </c>
      <c r="E158" s="130" t="s">
        <v>186</v>
      </c>
      <c r="F158" s="130" t="s">
        <v>625</v>
      </c>
      <c r="G158" s="58">
        <v>11</v>
      </c>
      <c r="H158" s="58">
        <v>11</v>
      </c>
      <c r="I158" s="59">
        <v>106</v>
      </c>
      <c r="J158" s="58">
        <v>4</v>
      </c>
      <c r="K158" s="58">
        <v>4</v>
      </c>
      <c r="L158" s="58">
        <v>0</v>
      </c>
      <c r="M158" s="59">
        <v>106</v>
      </c>
      <c r="N158" s="59">
        <v>106</v>
      </c>
      <c r="O158" s="59">
        <v>0</v>
      </c>
      <c r="P158" s="65">
        <f>M158*34150</f>
        <v>3619900</v>
      </c>
      <c r="Q158" s="126">
        <v>1727445</v>
      </c>
      <c r="R158" s="126">
        <v>1530467</v>
      </c>
      <c r="S158" s="65">
        <f>P158-Q158-R158</f>
        <v>361988</v>
      </c>
      <c r="T158" s="65">
        <v>0</v>
      </c>
    </row>
    <row r="159" spans="1:20" ht="47.25">
      <c r="A159" s="40">
        <f>A158+1</f>
        <v>135</v>
      </c>
      <c r="B159" s="132" t="s">
        <v>199</v>
      </c>
      <c r="C159" s="74">
        <v>7</v>
      </c>
      <c r="D159" s="72">
        <v>40904</v>
      </c>
      <c r="E159" s="130" t="s">
        <v>186</v>
      </c>
      <c r="F159" s="130" t="s">
        <v>625</v>
      </c>
      <c r="G159" s="58">
        <v>10</v>
      </c>
      <c r="H159" s="58">
        <v>10</v>
      </c>
      <c r="I159" s="59">
        <v>106.4</v>
      </c>
      <c r="J159" s="58">
        <v>4</v>
      </c>
      <c r="K159" s="137">
        <v>4</v>
      </c>
      <c r="L159" s="58">
        <v>0</v>
      </c>
      <c r="M159" s="59">
        <v>106.4</v>
      </c>
      <c r="N159" s="59">
        <v>106.4</v>
      </c>
      <c r="O159" s="59">
        <v>0</v>
      </c>
      <c r="P159" s="65">
        <f>M159*34150</f>
        <v>3633560</v>
      </c>
      <c r="Q159" s="126">
        <v>1733964</v>
      </c>
      <c r="R159" s="65">
        <v>1536243</v>
      </c>
      <c r="S159" s="65">
        <f>P159-Q159-R159</f>
        <v>363353</v>
      </c>
      <c r="T159" s="65">
        <v>0</v>
      </c>
    </row>
    <row r="160" spans="1:20" ht="15.75">
      <c r="A160" s="151" t="s">
        <v>200</v>
      </c>
      <c r="B160" s="151"/>
      <c r="C160" s="58"/>
      <c r="D160" s="58"/>
      <c r="E160" s="58"/>
      <c r="F160" s="58"/>
      <c r="G160" s="58">
        <f>SUM(G161:G167)</f>
        <v>57</v>
      </c>
      <c r="H160" s="58">
        <f aca="true" t="shared" si="59" ref="H160:N160">SUM(H161:H167)</f>
        <v>57</v>
      </c>
      <c r="I160" s="59">
        <f t="shared" si="59"/>
        <v>766.1899999999999</v>
      </c>
      <c r="J160" s="58">
        <f t="shared" si="59"/>
        <v>24</v>
      </c>
      <c r="K160" s="58">
        <f t="shared" si="59"/>
        <v>18</v>
      </c>
      <c r="L160" s="58">
        <f t="shared" si="59"/>
        <v>6</v>
      </c>
      <c r="M160" s="59">
        <f>SUM(M161:M167)</f>
        <v>766.1899999999999</v>
      </c>
      <c r="N160" s="59">
        <f t="shared" si="59"/>
        <v>582.0899999999999</v>
      </c>
      <c r="O160" s="59">
        <f aca="true" t="shared" si="60" ref="O160:T160">SUM(O161:O167)</f>
        <v>184.10000000000002</v>
      </c>
      <c r="P160" s="65">
        <f t="shared" si="60"/>
        <v>26165388.5</v>
      </c>
      <c r="Q160" s="65">
        <f t="shared" si="60"/>
        <v>12006100</v>
      </c>
      <c r="R160" s="65">
        <f t="shared" si="60"/>
        <v>10637000</v>
      </c>
      <c r="S160" s="65">
        <f t="shared" si="60"/>
        <v>3522288.5</v>
      </c>
      <c r="T160" s="65">
        <f t="shared" si="60"/>
        <v>0</v>
      </c>
    </row>
    <row r="161" spans="1:20" ht="47.25">
      <c r="A161" s="43">
        <v>136</v>
      </c>
      <c r="B161" s="57" t="s">
        <v>201</v>
      </c>
      <c r="C161" s="58">
        <v>8</v>
      </c>
      <c r="D161" s="72">
        <v>38324</v>
      </c>
      <c r="E161" s="130" t="s">
        <v>186</v>
      </c>
      <c r="F161" s="130" t="s">
        <v>625</v>
      </c>
      <c r="G161" s="58">
        <v>2</v>
      </c>
      <c r="H161" s="58">
        <v>2</v>
      </c>
      <c r="I161" s="59">
        <v>52.9</v>
      </c>
      <c r="J161" s="58">
        <v>2</v>
      </c>
      <c r="K161" s="58">
        <v>1</v>
      </c>
      <c r="L161" s="58">
        <v>1</v>
      </c>
      <c r="M161" s="59">
        <v>52.9</v>
      </c>
      <c r="N161" s="59">
        <v>26.1</v>
      </c>
      <c r="O161" s="59">
        <v>26.8</v>
      </c>
      <c r="P161" s="65">
        <f>M161*34150</f>
        <v>1806535</v>
      </c>
      <c r="Q161" s="65">
        <f>862100-33100</f>
        <v>829000</v>
      </c>
      <c r="R161" s="65">
        <f>763800-29200</f>
        <v>734600</v>
      </c>
      <c r="S161" s="65">
        <f aca="true" t="shared" si="61" ref="S161:S167">P161-Q161-R161</f>
        <v>242935</v>
      </c>
      <c r="T161" s="65">
        <v>0</v>
      </c>
    </row>
    <row r="162" spans="1:20" ht="47.25">
      <c r="A162" s="43">
        <f aca="true" t="shared" si="62" ref="A162:A167">A161+1</f>
        <v>137</v>
      </c>
      <c r="B162" s="57" t="s">
        <v>210</v>
      </c>
      <c r="C162" s="58">
        <v>26</v>
      </c>
      <c r="D162" s="72">
        <v>38341</v>
      </c>
      <c r="E162" s="130" t="s">
        <v>186</v>
      </c>
      <c r="F162" s="130" t="s">
        <v>625</v>
      </c>
      <c r="G162" s="58">
        <v>4</v>
      </c>
      <c r="H162" s="58">
        <v>4</v>
      </c>
      <c r="I162" s="59">
        <v>92.42</v>
      </c>
      <c r="J162" s="58">
        <v>2</v>
      </c>
      <c r="K162" s="58">
        <v>1</v>
      </c>
      <c r="L162" s="58">
        <v>1</v>
      </c>
      <c r="M162" s="59">
        <v>92.42</v>
      </c>
      <c r="N162" s="59">
        <v>47.82</v>
      </c>
      <c r="O162" s="59">
        <v>44.6</v>
      </c>
      <c r="P162" s="65">
        <f aca="true" t="shared" si="63" ref="P162:P167">M162*34150</f>
        <v>3156143</v>
      </c>
      <c r="Q162" s="65">
        <f>1506200-57800</f>
        <v>1448400</v>
      </c>
      <c r="R162" s="65">
        <f>1334500-51000</f>
        <v>1283500</v>
      </c>
      <c r="S162" s="65">
        <f t="shared" si="61"/>
        <v>424243</v>
      </c>
      <c r="T162" s="65">
        <v>0</v>
      </c>
    </row>
    <row r="163" spans="1:20" ht="47.25">
      <c r="A163" s="43">
        <f t="shared" si="62"/>
        <v>138</v>
      </c>
      <c r="B163" s="57" t="s">
        <v>211</v>
      </c>
      <c r="C163" s="58">
        <v>24</v>
      </c>
      <c r="D163" s="72">
        <v>38340</v>
      </c>
      <c r="E163" s="130" t="s">
        <v>186</v>
      </c>
      <c r="F163" s="130" t="s">
        <v>625</v>
      </c>
      <c r="G163" s="58">
        <v>4</v>
      </c>
      <c r="H163" s="58">
        <v>4</v>
      </c>
      <c r="I163" s="59">
        <v>169.5</v>
      </c>
      <c r="J163" s="58">
        <v>3</v>
      </c>
      <c r="K163" s="58">
        <v>2</v>
      </c>
      <c r="L163" s="58">
        <v>1</v>
      </c>
      <c r="M163" s="59">
        <v>169.5</v>
      </c>
      <c r="N163" s="59">
        <v>121.5</v>
      </c>
      <c r="O163" s="59">
        <v>48</v>
      </c>
      <c r="P163" s="65">
        <f t="shared" si="63"/>
        <v>5788425</v>
      </c>
      <c r="Q163" s="65">
        <f>2762200-106200</f>
        <v>2656000</v>
      </c>
      <c r="R163" s="65">
        <f>2447300-93600</f>
        <v>2353700</v>
      </c>
      <c r="S163" s="65">
        <f t="shared" si="61"/>
        <v>778725</v>
      </c>
      <c r="T163" s="65">
        <v>0</v>
      </c>
    </row>
    <row r="164" spans="1:20" ht="47.25">
      <c r="A164" s="43">
        <f t="shared" si="62"/>
        <v>139</v>
      </c>
      <c r="B164" s="57" t="s">
        <v>212</v>
      </c>
      <c r="C164" s="58">
        <v>90.7</v>
      </c>
      <c r="D164" s="72">
        <v>38346</v>
      </c>
      <c r="E164" s="130" t="s">
        <v>186</v>
      </c>
      <c r="F164" s="130" t="s">
        <v>625</v>
      </c>
      <c r="G164" s="58">
        <v>12</v>
      </c>
      <c r="H164" s="58">
        <v>12</v>
      </c>
      <c r="I164" s="59">
        <v>90.7</v>
      </c>
      <c r="J164" s="58">
        <v>4</v>
      </c>
      <c r="K164" s="58">
        <v>4</v>
      </c>
      <c r="L164" s="58">
        <v>0</v>
      </c>
      <c r="M164" s="59">
        <v>90.7</v>
      </c>
      <c r="N164" s="59">
        <v>90.7</v>
      </c>
      <c r="O164" s="59">
        <v>0</v>
      </c>
      <c r="P164" s="65">
        <f t="shared" si="63"/>
        <v>3097405</v>
      </c>
      <c r="Q164" s="65">
        <v>1478100</v>
      </c>
      <c r="R164" s="65">
        <f>1309300-50100</f>
        <v>1259200</v>
      </c>
      <c r="S164" s="65">
        <f t="shared" si="61"/>
        <v>360105</v>
      </c>
      <c r="T164" s="65">
        <v>0</v>
      </c>
    </row>
    <row r="165" spans="1:20" ht="47.25">
      <c r="A165" s="43">
        <f t="shared" si="62"/>
        <v>140</v>
      </c>
      <c r="B165" s="138" t="s">
        <v>213</v>
      </c>
      <c r="C165" s="58">
        <v>83</v>
      </c>
      <c r="D165" s="134">
        <v>40752</v>
      </c>
      <c r="E165" s="130" t="s">
        <v>186</v>
      </c>
      <c r="F165" s="130" t="s">
        <v>625</v>
      </c>
      <c r="G165" s="58">
        <v>6</v>
      </c>
      <c r="H165" s="58">
        <v>6</v>
      </c>
      <c r="I165" s="59">
        <v>83</v>
      </c>
      <c r="J165" s="58">
        <v>4</v>
      </c>
      <c r="K165" s="58">
        <v>3</v>
      </c>
      <c r="L165" s="58">
        <v>1</v>
      </c>
      <c r="M165" s="59">
        <v>83</v>
      </c>
      <c r="N165" s="59">
        <v>63</v>
      </c>
      <c r="O165" s="59">
        <v>20</v>
      </c>
      <c r="P165" s="65">
        <f t="shared" si="63"/>
        <v>2834450</v>
      </c>
      <c r="Q165" s="65">
        <f>1352500-56800</f>
        <v>1295700</v>
      </c>
      <c r="R165" s="65">
        <f>1198400-45800</f>
        <v>1152600</v>
      </c>
      <c r="S165" s="65">
        <f t="shared" si="61"/>
        <v>386150</v>
      </c>
      <c r="T165" s="65">
        <v>0</v>
      </c>
    </row>
    <row r="166" spans="1:20" ht="47.25">
      <c r="A166" s="43">
        <f t="shared" si="62"/>
        <v>141</v>
      </c>
      <c r="B166" s="57" t="s">
        <v>214</v>
      </c>
      <c r="C166" s="58">
        <v>7</v>
      </c>
      <c r="D166" s="72">
        <v>38323</v>
      </c>
      <c r="E166" s="130" t="s">
        <v>186</v>
      </c>
      <c r="F166" s="130" t="s">
        <v>625</v>
      </c>
      <c r="G166" s="58">
        <v>4</v>
      </c>
      <c r="H166" s="58">
        <v>4</v>
      </c>
      <c r="I166" s="59">
        <v>74.3</v>
      </c>
      <c r="J166" s="58">
        <v>2</v>
      </c>
      <c r="K166" s="58">
        <v>1</v>
      </c>
      <c r="L166" s="58">
        <v>1</v>
      </c>
      <c r="M166" s="59">
        <v>74.3</v>
      </c>
      <c r="N166" s="59">
        <v>42.9</v>
      </c>
      <c r="O166" s="59">
        <v>31.4</v>
      </c>
      <c r="P166" s="65">
        <f t="shared" si="63"/>
        <v>2537345</v>
      </c>
      <c r="Q166" s="65">
        <f>1210800-52000</f>
        <v>1158800</v>
      </c>
      <c r="R166" s="65">
        <f>1072700-41000</f>
        <v>1031700</v>
      </c>
      <c r="S166" s="65">
        <f t="shared" si="61"/>
        <v>346845</v>
      </c>
      <c r="T166" s="65">
        <v>0</v>
      </c>
    </row>
    <row r="167" spans="1:20" ht="47.25">
      <c r="A167" s="43">
        <f t="shared" si="62"/>
        <v>142</v>
      </c>
      <c r="B167" s="57" t="s">
        <v>215</v>
      </c>
      <c r="C167" s="58">
        <v>22</v>
      </c>
      <c r="D167" s="72">
        <v>38340</v>
      </c>
      <c r="E167" s="130" t="s">
        <v>186</v>
      </c>
      <c r="F167" s="130" t="s">
        <v>625</v>
      </c>
      <c r="G167" s="58">
        <v>25</v>
      </c>
      <c r="H167" s="58">
        <v>25</v>
      </c>
      <c r="I167" s="59">
        <v>203.37</v>
      </c>
      <c r="J167" s="58">
        <v>7</v>
      </c>
      <c r="K167" s="58">
        <v>6</v>
      </c>
      <c r="L167" s="58">
        <v>1</v>
      </c>
      <c r="M167" s="59">
        <v>203.37</v>
      </c>
      <c r="N167" s="59">
        <v>190.07</v>
      </c>
      <c r="O167" s="59">
        <v>13.3</v>
      </c>
      <c r="P167" s="65">
        <f t="shared" si="63"/>
        <v>6945085.5</v>
      </c>
      <c r="Q167" s="65">
        <f>3314200-127600-46500</f>
        <v>3140100</v>
      </c>
      <c r="R167" s="65">
        <f>2936400-114700</f>
        <v>2821700</v>
      </c>
      <c r="S167" s="65">
        <f t="shared" si="61"/>
        <v>983285.5</v>
      </c>
      <c r="T167" s="65">
        <v>0</v>
      </c>
    </row>
    <row r="168" spans="1:20" ht="15.75">
      <c r="A168" s="151" t="s">
        <v>216</v>
      </c>
      <c r="B168" s="151"/>
      <c r="C168" s="58"/>
      <c r="D168" s="58"/>
      <c r="E168" s="58"/>
      <c r="F168" s="58"/>
      <c r="G168" s="58">
        <f>G169+G170+G171+G172+G173+G174+G175+G176+G177+G178+G179+G180</f>
        <v>126</v>
      </c>
      <c r="H168" s="58">
        <f aca="true" t="shared" si="64" ref="H168:N168">H169+H170+H171+H172+H173+H174+H175+H176+H177+H178+H179+H180</f>
        <v>126</v>
      </c>
      <c r="I168" s="59">
        <f t="shared" si="64"/>
        <v>1819.4099999999999</v>
      </c>
      <c r="J168" s="58">
        <f t="shared" si="64"/>
        <v>50</v>
      </c>
      <c r="K168" s="58">
        <f t="shared" si="64"/>
        <v>24</v>
      </c>
      <c r="L168" s="58">
        <f t="shared" si="64"/>
        <v>26</v>
      </c>
      <c r="M168" s="59">
        <f t="shared" si="64"/>
        <v>1819.4099999999999</v>
      </c>
      <c r="N168" s="59">
        <f t="shared" si="64"/>
        <v>1010.5699999999999</v>
      </c>
      <c r="O168" s="59">
        <f aca="true" t="shared" si="65" ref="O168:T168">O169+O170+O171+O172+O173+O174+O175+O176+O177+O178+O179+O180</f>
        <v>808.8399999999999</v>
      </c>
      <c r="P168" s="65">
        <f t="shared" si="65"/>
        <v>62132851.5</v>
      </c>
      <c r="Q168" s="65">
        <f t="shared" si="65"/>
        <v>29650199.76116258</v>
      </c>
      <c r="R168" s="65">
        <f t="shared" si="65"/>
        <v>26269299.788566113</v>
      </c>
      <c r="S168" s="65">
        <f t="shared" si="65"/>
        <v>6213351.950271302</v>
      </c>
      <c r="T168" s="65">
        <f t="shared" si="65"/>
        <v>1499527</v>
      </c>
    </row>
    <row r="169" spans="1:20" ht="47.25">
      <c r="A169" s="43">
        <v>143</v>
      </c>
      <c r="B169" s="57" t="s">
        <v>217</v>
      </c>
      <c r="C169" s="58">
        <v>38</v>
      </c>
      <c r="D169" s="130">
        <v>38121</v>
      </c>
      <c r="E169" s="130" t="s">
        <v>186</v>
      </c>
      <c r="F169" s="130" t="s">
        <v>625</v>
      </c>
      <c r="G169" s="71">
        <v>3</v>
      </c>
      <c r="H169" s="71">
        <v>3</v>
      </c>
      <c r="I169" s="73">
        <v>105.12</v>
      </c>
      <c r="J169" s="71">
        <v>2</v>
      </c>
      <c r="K169" s="71">
        <v>1</v>
      </c>
      <c r="L169" s="71">
        <v>1</v>
      </c>
      <c r="M169" s="73">
        <v>105.12</v>
      </c>
      <c r="N169" s="73">
        <v>69.32</v>
      </c>
      <c r="O169" s="73">
        <f aca="true" t="shared" si="66" ref="O169:O180">M169-N169</f>
        <v>35.80000000000001</v>
      </c>
      <c r="P169" s="65">
        <f>M169*34150</f>
        <v>3589848</v>
      </c>
      <c r="Q169" s="126">
        <f>P169*0.47720648651</f>
        <v>1713098.7511849506</v>
      </c>
      <c r="R169" s="126">
        <f>P169*0.42279243837</f>
        <v>1517760.5892976678</v>
      </c>
      <c r="S169" s="126">
        <f>P169-Q169-R169</f>
        <v>358988.6595173816</v>
      </c>
      <c r="T169" s="126">
        <v>0</v>
      </c>
    </row>
    <row r="170" spans="1:20" ht="31.5">
      <c r="A170" s="43">
        <f>A169+1</f>
        <v>144</v>
      </c>
      <c r="B170" s="57" t="s">
        <v>218</v>
      </c>
      <c r="C170" s="58">
        <v>41</v>
      </c>
      <c r="D170" s="130">
        <v>38121</v>
      </c>
      <c r="E170" s="130" t="s">
        <v>186</v>
      </c>
      <c r="F170" s="130" t="s">
        <v>625</v>
      </c>
      <c r="G170" s="71">
        <v>7</v>
      </c>
      <c r="H170" s="71">
        <v>7</v>
      </c>
      <c r="I170" s="73">
        <v>66.71</v>
      </c>
      <c r="J170" s="71">
        <v>3</v>
      </c>
      <c r="K170" s="71">
        <v>1</v>
      </c>
      <c r="L170" s="71">
        <v>2</v>
      </c>
      <c r="M170" s="73">
        <v>66.71</v>
      </c>
      <c r="N170" s="73">
        <v>34.55</v>
      </c>
      <c r="O170" s="73">
        <f t="shared" si="66"/>
        <v>32.16</v>
      </c>
      <c r="P170" s="65">
        <f aca="true" t="shared" si="67" ref="P170:P180">M170*34150</f>
        <v>2278146.5</v>
      </c>
      <c r="Q170" s="126">
        <f aca="true" t="shared" si="68" ref="Q170:Q180">P170*0.47720648651</f>
        <v>1087146.2870200537</v>
      </c>
      <c r="R170" s="126">
        <f aca="true" t="shared" si="69" ref="R170:R180">P170*0.42279243837</f>
        <v>963183.1136990812</v>
      </c>
      <c r="S170" s="126">
        <f aca="true" t="shared" si="70" ref="S170:S180">P170-Q170-R170</f>
        <v>227817.09928086505</v>
      </c>
      <c r="T170" s="126">
        <v>23564</v>
      </c>
    </row>
    <row r="171" spans="1:20" ht="31.5">
      <c r="A171" s="43">
        <f aca="true" t="shared" si="71" ref="A171:A180">A170+1</f>
        <v>145</v>
      </c>
      <c r="B171" s="57" t="s">
        <v>219</v>
      </c>
      <c r="C171" s="58">
        <v>20</v>
      </c>
      <c r="D171" s="130">
        <v>40903</v>
      </c>
      <c r="E171" s="130" t="s">
        <v>186</v>
      </c>
      <c r="F171" s="130" t="s">
        <v>625</v>
      </c>
      <c r="G171" s="71">
        <v>3</v>
      </c>
      <c r="H171" s="71">
        <v>3</v>
      </c>
      <c r="I171" s="73">
        <v>81.9</v>
      </c>
      <c r="J171" s="71">
        <v>2</v>
      </c>
      <c r="K171" s="71">
        <v>2</v>
      </c>
      <c r="L171" s="71"/>
      <c r="M171" s="73">
        <v>81.9</v>
      </c>
      <c r="N171" s="73">
        <v>81.9</v>
      </c>
      <c r="O171" s="73">
        <f t="shared" si="66"/>
        <v>0</v>
      </c>
      <c r="P171" s="65">
        <f t="shared" si="67"/>
        <v>2796885</v>
      </c>
      <c r="Q171" s="126">
        <f t="shared" si="68"/>
        <v>1334691.6640225213</v>
      </c>
      <c r="R171" s="126">
        <f t="shared" si="69"/>
        <v>1182501.8289904776</v>
      </c>
      <c r="S171" s="126">
        <f t="shared" si="70"/>
        <v>279691.50698700105</v>
      </c>
      <c r="T171" s="126">
        <v>163920</v>
      </c>
    </row>
    <row r="172" spans="1:20" ht="31.5">
      <c r="A172" s="43">
        <f t="shared" si="71"/>
        <v>146</v>
      </c>
      <c r="B172" s="57" t="s">
        <v>220</v>
      </c>
      <c r="C172" s="58">
        <v>44</v>
      </c>
      <c r="D172" s="130">
        <v>38121</v>
      </c>
      <c r="E172" s="130" t="s">
        <v>186</v>
      </c>
      <c r="F172" s="130" t="s">
        <v>625</v>
      </c>
      <c r="G172" s="71">
        <v>9</v>
      </c>
      <c r="H172" s="71">
        <v>9</v>
      </c>
      <c r="I172" s="73">
        <v>97.45</v>
      </c>
      <c r="J172" s="71">
        <v>3</v>
      </c>
      <c r="K172" s="71"/>
      <c r="L172" s="71">
        <v>3</v>
      </c>
      <c r="M172" s="73">
        <v>97.45</v>
      </c>
      <c r="N172" s="73"/>
      <c r="O172" s="73">
        <f t="shared" si="66"/>
        <v>97.45</v>
      </c>
      <c r="P172" s="65">
        <f t="shared" si="67"/>
        <v>3327917.5</v>
      </c>
      <c r="Q172" s="126">
        <f t="shared" si="68"/>
        <v>1588103.817570143</v>
      </c>
      <c r="R172" s="126">
        <f t="shared" si="69"/>
        <v>1407018.3545191945</v>
      </c>
      <c r="S172" s="126">
        <f t="shared" si="70"/>
        <v>332795.3279106626</v>
      </c>
      <c r="T172" s="126">
        <v>25613</v>
      </c>
    </row>
    <row r="173" spans="1:20" ht="47.25">
      <c r="A173" s="43">
        <f t="shared" si="71"/>
        <v>147</v>
      </c>
      <c r="B173" s="57" t="s">
        <v>221</v>
      </c>
      <c r="C173" s="58">
        <v>7</v>
      </c>
      <c r="D173" s="130">
        <v>38121</v>
      </c>
      <c r="E173" s="130" t="s">
        <v>186</v>
      </c>
      <c r="F173" s="130" t="s">
        <v>625</v>
      </c>
      <c r="G173" s="71">
        <v>13</v>
      </c>
      <c r="H173" s="71">
        <v>13</v>
      </c>
      <c r="I173" s="73">
        <v>100</v>
      </c>
      <c r="J173" s="71">
        <v>4</v>
      </c>
      <c r="K173" s="71">
        <v>1</v>
      </c>
      <c r="L173" s="71">
        <v>3</v>
      </c>
      <c r="M173" s="73">
        <v>100</v>
      </c>
      <c r="N173" s="73">
        <v>25</v>
      </c>
      <c r="O173" s="73">
        <f t="shared" si="66"/>
        <v>75</v>
      </c>
      <c r="P173" s="65">
        <f t="shared" si="67"/>
        <v>3415000</v>
      </c>
      <c r="Q173" s="126">
        <f t="shared" si="68"/>
        <v>1629660.1514316502</v>
      </c>
      <c r="R173" s="126">
        <f t="shared" si="69"/>
        <v>1443836.17703355</v>
      </c>
      <c r="S173" s="126">
        <f t="shared" si="70"/>
        <v>341503.67153479974</v>
      </c>
      <c r="T173" s="126">
        <v>0</v>
      </c>
    </row>
    <row r="174" spans="1:20" ht="47.25">
      <c r="A174" s="43">
        <f t="shared" si="71"/>
        <v>148</v>
      </c>
      <c r="B174" s="57" t="s">
        <v>222</v>
      </c>
      <c r="C174" s="58">
        <v>10</v>
      </c>
      <c r="D174" s="130">
        <v>38121</v>
      </c>
      <c r="E174" s="130" t="s">
        <v>186</v>
      </c>
      <c r="F174" s="130" t="s">
        <v>625</v>
      </c>
      <c r="G174" s="71">
        <v>26</v>
      </c>
      <c r="H174" s="71">
        <v>26</v>
      </c>
      <c r="I174" s="73">
        <v>404.63</v>
      </c>
      <c r="J174" s="71">
        <v>9</v>
      </c>
      <c r="K174" s="71">
        <v>8</v>
      </c>
      <c r="L174" s="71">
        <v>1</v>
      </c>
      <c r="M174" s="73">
        <v>404.63</v>
      </c>
      <c r="N174" s="73">
        <v>360.5</v>
      </c>
      <c r="O174" s="73">
        <f t="shared" si="66"/>
        <v>44.129999999999995</v>
      </c>
      <c r="P174" s="65">
        <f t="shared" si="67"/>
        <v>13818114.5</v>
      </c>
      <c r="Q174" s="126">
        <f t="shared" si="68"/>
        <v>6594093.870737886</v>
      </c>
      <c r="R174" s="126">
        <f t="shared" si="69"/>
        <v>5842194.3231308535</v>
      </c>
      <c r="S174" s="126">
        <f t="shared" si="70"/>
        <v>1381826.3061312605</v>
      </c>
      <c r="T174" s="126">
        <v>87765</v>
      </c>
    </row>
    <row r="175" spans="1:20" ht="47.25">
      <c r="A175" s="43">
        <f t="shared" si="71"/>
        <v>149</v>
      </c>
      <c r="B175" s="57" t="s">
        <v>223</v>
      </c>
      <c r="C175" s="58">
        <v>13</v>
      </c>
      <c r="D175" s="130">
        <v>38121</v>
      </c>
      <c r="E175" s="130" t="s">
        <v>186</v>
      </c>
      <c r="F175" s="130" t="s">
        <v>625</v>
      </c>
      <c r="G175" s="71">
        <v>28</v>
      </c>
      <c r="H175" s="71">
        <v>28</v>
      </c>
      <c r="I175" s="73">
        <v>298.14</v>
      </c>
      <c r="J175" s="71">
        <v>8</v>
      </c>
      <c r="K175" s="71">
        <v>4</v>
      </c>
      <c r="L175" s="71">
        <v>4</v>
      </c>
      <c r="M175" s="73">
        <v>298.14</v>
      </c>
      <c r="N175" s="73">
        <v>146.1</v>
      </c>
      <c r="O175" s="73">
        <f t="shared" si="66"/>
        <v>152.04</v>
      </c>
      <c r="P175" s="65">
        <f t="shared" si="67"/>
        <v>10181481</v>
      </c>
      <c r="Q175" s="126">
        <f t="shared" si="68"/>
        <v>4858668.775478321</v>
      </c>
      <c r="R175" s="126">
        <f t="shared" si="69"/>
        <v>4304653.178207826</v>
      </c>
      <c r="S175" s="126">
        <f t="shared" si="70"/>
        <v>1018159.046313853</v>
      </c>
      <c r="T175" s="126">
        <v>814819</v>
      </c>
    </row>
    <row r="176" spans="1:20" ht="47.25">
      <c r="A176" s="43">
        <f t="shared" si="71"/>
        <v>150</v>
      </c>
      <c r="B176" s="57" t="s">
        <v>224</v>
      </c>
      <c r="C176" s="58">
        <v>14</v>
      </c>
      <c r="D176" s="130">
        <v>38121</v>
      </c>
      <c r="E176" s="130" t="s">
        <v>186</v>
      </c>
      <c r="F176" s="130" t="s">
        <v>625</v>
      </c>
      <c r="G176" s="71">
        <v>9</v>
      </c>
      <c r="H176" s="71">
        <v>9</v>
      </c>
      <c r="I176" s="73">
        <v>146.04</v>
      </c>
      <c r="J176" s="71">
        <v>4</v>
      </c>
      <c r="K176" s="71">
        <v>1</v>
      </c>
      <c r="L176" s="71">
        <v>3</v>
      </c>
      <c r="M176" s="73">
        <v>146.04</v>
      </c>
      <c r="N176" s="73">
        <v>36.8</v>
      </c>
      <c r="O176" s="73">
        <f t="shared" si="66"/>
        <v>109.24</v>
      </c>
      <c r="P176" s="65">
        <f t="shared" si="67"/>
        <v>4987266</v>
      </c>
      <c r="Q176" s="126">
        <f t="shared" si="68"/>
        <v>2379955.6851507816</v>
      </c>
      <c r="R176" s="126">
        <f t="shared" si="69"/>
        <v>2108578.3529397966</v>
      </c>
      <c r="S176" s="126">
        <f t="shared" si="70"/>
        <v>498731.9619094217</v>
      </c>
      <c r="T176" s="126">
        <v>19124</v>
      </c>
    </row>
    <row r="177" spans="1:20" ht="47.25">
      <c r="A177" s="43">
        <f t="shared" si="71"/>
        <v>151</v>
      </c>
      <c r="B177" s="57" t="s">
        <v>225</v>
      </c>
      <c r="C177" s="58">
        <v>25</v>
      </c>
      <c r="D177" s="130">
        <v>38121</v>
      </c>
      <c r="E177" s="130" t="s">
        <v>186</v>
      </c>
      <c r="F177" s="130" t="s">
        <v>625</v>
      </c>
      <c r="G177" s="71">
        <v>8</v>
      </c>
      <c r="H177" s="71">
        <v>8</v>
      </c>
      <c r="I177" s="73">
        <v>144.7</v>
      </c>
      <c r="J177" s="71">
        <v>4</v>
      </c>
      <c r="K177" s="71">
        <v>1</v>
      </c>
      <c r="L177" s="71">
        <v>3</v>
      </c>
      <c r="M177" s="73">
        <v>144.7</v>
      </c>
      <c r="N177" s="73">
        <v>45.5</v>
      </c>
      <c r="O177" s="73">
        <f t="shared" si="66"/>
        <v>99.19999999999999</v>
      </c>
      <c r="P177" s="65">
        <f t="shared" si="67"/>
        <v>4941505</v>
      </c>
      <c r="Q177" s="126">
        <f t="shared" si="68"/>
        <v>2358118.2391215977</v>
      </c>
      <c r="R177" s="126">
        <f t="shared" si="69"/>
        <v>2089230.948167547</v>
      </c>
      <c r="S177" s="126">
        <f t="shared" si="70"/>
        <v>494155.8127108554</v>
      </c>
      <c r="T177" s="126">
        <v>30735</v>
      </c>
    </row>
    <row r="178" spans="1:20" ht="47.25">
      <c r="A178" s="43">
        <f t="shared" si="71"/>
        <v>152</v>
      </c>
      <c r="B178" s="57" t="s">
        <v>226</v>
      </c>
      <c r="C178" s="58">
        <v>30</v>
      </c>
      <c r="D178" s="130">
        <v>38121</v>
      </c>
      <c r="E178" s="130" t="s">
        <v>186</v>
      </c>
      <c r="F178" s="130" t="s">
        <v>625</v>
      </c>
      <c r="G178" s="71">
        <v>5</v>
      </c>
      <c r="H178" s="71">
        <v>5</v>
      </c>
      <c r="I178" s="73">
        <v>103.62</v>
      </c>
      <c r="J178" s="71">
        <v>4</v>
      </c>
      <c r="K178" s="71">
        <v>0</v>
      </c>
      <c r="L178" s="71">
        <v>4</v>
      </c>
      <c r="M178" s="73">
        <v>103.62</v>
      </c>
      <c r="N178" s="73">
        <v>0</v>
      </c>
      <c r="O178" s="73">
        <f t="shared" si="66"/>
        <v>103.62</v>
      </c>
      <c r="P178" s="65">
        <f t="shared" si="67"/>
        <v>3538623</v>
      </c>
      <c r="Q178" s="126">
        <f t="shared" si="68"/>
        <v>1688653.8489134759</v>
      </c>
      <c r="R178" s="126">
        <f t="shared" si="69"/>
        <v>1496103.0466421647</v>
      </c>
      <c r="S178" s="126">
        <f t="shared" si="70"/>
        <v>353866.10444435943</v>
      </c>
      <c r="T178" s="126">
        <v>152992</v>
      </c>
    </row>
    <row r="179" spans="1:20" ht="31.5">
      <c r="A179" s="43">
        <f t="shared" si="71"/>
        <v>153</v>
      </c>
      <c r="B179" s="57" t="s">
        <v>227</v>
      </c>
      <c r="C179" s="58">
        <v>12</v>
      </c>
      <c r="D179" s="130">
        <v>40762</v>
      </c>
      <c r="E179" s="130" t="s">
        <v>186</v>
      </c>
      <c r="F179" s="130" t="s">
        <v>625</v>
      </c>
      <c r="G179" s="71">
        <v>13</v>
      </c>
      <c r="H179" s="71">
        <v>13</v>
      </c>
      <c r="I179" s="73">
        <v>191.6</v>
      </c>
      <c r="J179" s="71">
        <v>5</v>
      </c>
      <c r="K179" s="71">
        <v>3</v>
      </c>
      <c r="L179" s="71">
        <v>2</v>
      </c>
      <c r="M179" s="73">
        <v>191.6</v>
      </c>
      <c r="N179" s="73">
        <v>131.4</v>
      </c>
      <c r="O179" s="73">
        <f t="shared" si="66"/>
        <v>60.19999999999999</v>
      </c>
      <c r="P179" s="65">
        <f t="shared" si="67"/>
        <v>6543140</v>
      </c>
      <c r="Q179" s="126">
        <f t="shared" si="68"/>
        <v>3122428.8501430415</v>
      </c>
      <c r="R179" s="126">
        <f t="shared" si="69"/>
        <v>2766390.115196282</v>
      </c>
      <c r="S179" s="126">
        <f t="shared" si="70"/>
        <v>654321.0346606765</v>
      </c>
      <c r="T179" s="126">
        <v>163920</v>
      </c>
    </row>
    <row r="180" spans="1:20" ht="31.5">
      <c r="A180" s="43">
        <f t="shared" si="71"/>
        <v>154</v>
      </c>
      <c r="B180" s="57" t="s">
        <v>228</v>
      </c>
      <c r="C180" s="58">
        <v>40</v>
      </c>
      <c r="D180" s="130">
        <v>38121</v>
      </c>
      <c r="E180" s="130" t="s">
        <v>186</v>
      </c>
      <c r="F180" s="130" t="s">
        <v>625</v>
      </c>
      <c r="G180" s="71">
        <v>2</v>
      </c>
      <c r="H180" s="71">
        <v>2</v>
      </c>
      <c r="I180" s="73">
        <v>79.5</v>
      </c>
      <c r="J180" s="71">
        <v>2</v>
      </c>
      <c r="K180" s="71">
        <v>2</v>
      </c>
      <c r="L180" s="71">
        <v>0</v>
      </c>
      <c r="M180" s="73">
        <v>79.5</v>
      </c>
      <c r="N180" s="73">
        <v>79.5</v>
      </c>
      <c r="O180" s="73">
        <f t="shared" si="66"/>
        <v>0</v>
      </c>
      <c r="P180" s="65">
        <f t="shared" si="67"/>
        <v>2714925</v>
      </c>
      <c r="Q180" s="126">
        <f t="shared" si="68"/>
        <v>1295579.8203881618</v>
      </c>
      <c r="R180" s="126">
        <f t="shared" si="69"/>
        <v>1147849.7607416722</v>
      </c>
      <c r="S180" s="126">
        <f t="shared" si="70"/>
        <v>271495.41887016594</v>
      </c>
      <c r="T180" s="126">
        <v>17075</v>
      </c>
    </row>
    <row r="181" spans="1:20" ht="15.75">
      <c r="A181" s="151" t="s">
        <v>229</v>
      </c>
      <c r="B181" s="151"/>
      <c r="C181" s="58"/>
      <c r="D181" s="58"/>
      <c r="E181" s="58"/>
      <c r="F181" s="58"/>
      <c r="G181" s="58">
        <f>G182+G183</f>
        <v>38</v>
      </c>
      <c r="H181" s="58">
        <f aca="true" t="shared" si="72" ref="H181:N181">H182+H183</f>
        <v>38</v>
      </c>
      <c r="I181" s="59">
        <f t="shared" si="72"/>
        <v>529.3</v>
      </c>
      <c r="J181" s="58">
        <f t="shared" si="72"/>
        <v>14</v>
      </c>
      <c r="K181" s="58">
        <f t="shared" si="72"/>
        <v>12</v>
      </c>
      <c r="L181" s="58">
        <f t="shared" si="72"/>
        <v>2</v>
      </c>
      <c r="M181" s="59">
        <f t="shared" si="72"/>
        <v>529.3</v>
      </c>
      <c r="N181" s="59">
        <f t="shared" si="72"/>
        <v>452.8</v>
      </c>
      <c r="O181" s="59">
        <f aca="true" t="shared" si="73" ref="O181:T181">O182+O183</f>
        <v>76.5</v>
      </c>
      <c r="P181" s="65">
        <f t="shared" si="73"/>
        <v>18075595</v>
      </c>
      <c r="Q181" s="65">
        <f t="shared" si="73"/>
        <v>8625799.9998875</v>
      </c>
      <c r="R181" s="65">
        <f t="shared" si="73"/>
        <v>7642199.999824677</v>
      </c>
      <c r="S181" s="65">
        <f t="shared" si="73"/>
        <v>1807595.0002878234</v>
      </c>
      <c r="T181" s="65">
        <f t="shared" si="73"/>
        <v>0</v>
      </c>
    </row>
    <row r="182" spans="1:20" ht="47.25">
      <c r="A182" s="43">
        <v>155</v>
      </c>
      <c r="B182" s="57" t="s">
        <v>230</v>
      </c>
      <c r="C182" s="71">
        <v>14</v>
      </c>
      <c r="D182" s="72">
        <v>40885</v>
      </c>
      <c r="E182" s="130" t="s">
        <v>186</v>
      </c>
      <c r="F182" s="130" t="s">
        <v>625</v>
      </c>
      <c r="G182" s="58">
        <v>21</v>
      </c>
      <c r="H182" s="58">
        <v>21</v>
      </c>
      <c r="I182" s="59">
        <v>301.4</v>
      </c>
      <c r="J182" s="71">
        <v>8</v>
      </c>
      <c r="K182" s="71">
        <v>6</v>
      </c>
      <c r="L182" s="71">
        <v>2</v>
      </c>
      <c r="M182" s="59">
        <v>301.4</v>
      </c>
      <c r="N182" s="59">
        <v>224.9</v>
      </c>
      <c r="O182" s="73">
        <v>76.5</v>
      </c>
      <c r="P182" s="44">
        <f>M182*34150</f>
        <v>10292810</v>
      </c>
      <c r="Q182" s="65">
        <f>P182*0.47720697437</f>
        <v>4911800.71786528</v>
      </c>
      <c r="R182" s="65">
        <f>P182*0.42279106164</f>
        <v>4351708.067158809</v>
      </c>
      <c r="S182" s="65">
        <f>P182-Q182-R182</f>
        <v>1029301.2149759112</v>
      </c>
      <c r="T182" s="65">
        <v>0</v>
      </c>
    </row>
    <row r="183" spans="1:20" ht="47.25">
      <c r="A183" s="43">
        <f>A182+1</f>
        <v>156</v>
      </c>
      <c r="B183" s="57" t="s">
        <v>231</v>
      </c>
      <c r="C183" s="71">
        <v>15</v>
      </c>
      <c r="D183" s="72">
        <v>40885</v>
      </c>
      <c r="E183" s="130" t="s">
        <v>186</v>
      </c>
      <c r="F183" s="130" t="s">
        <v>625</v>
      </c>
      <c r="G183" s="58">
        <v>17</v>
      </c>
      <c r="H183" s="58">
        <v>17</v>
      </c>
      <c r="I183" s="59">
        <v>227.9</v>
      </c>
      <c r="J183" s="71">
        <v>6</v>
      </c>
      <c r="K183" s="71">
        <v>6</v>
      </c>
      <c r="L183" s="71">
        <v>0</v>
      </c>
      <c r="M183" s="59">
        <v>227.9</v>
      </c>
      <c r="N183" s="59">
        <v>227.9</v>
      </c>
      <c r="O183" s="73">
        <v>0</v>
      </c>
      <c r="P183" s="44">
        <f>M183*34150</f>
        <v>7782785</v>
      </c>
      <c r="Q183" s="65">
        <f>P183*0.47720697437</f>
        <v>3713999.28202222</v>
      </c>
      <c r="R183" s="65">
        <f>P183*0.42279106164</f>
        <v>3290491.9326658677</v>
      </c>
      <c r="S183" s="65">
        <f>P183-Q183-R183</f>
        <v>778293.7853119122</v>
      </c>
      <c r="T183" s="65">
        <v>0</v>
      </c>
    </row>
    <row r="184" spans="1:20" ht="15.75">
      <c r="A184" s="151" t="s">
        <v>232</v>
      </c>
      <c r="B184" s="151"/>
      <c r="C184" s="58"/>
      <c r="D184" s="58"/>
      <c r="E184" s="58"/>
      <c r="F184" s="58"/>
      <c r="G184" s="58">
        <f>G185+G186+G187+G188+G189+G190+G191+G192+G193+G194</f>
        <v>57</v>
      </c>
      <c r="H184" s="58">
        <f aca="true" t="shared" si="74" ref="H184:N184">H185+H186+H187+H188+H189+H190+H191+H192+H193+H194</f>
        <v>57</v>
      </c>
      <c r="I184" s="59">
        <f t="shared" si="74"/>
        <v>614.1999999999999</v>
      </c>
      <c r="J184" s="58">
        <f t="shared" si="74"/>
        <v>20</v>
      </c>
      <c r="K184" s="58">
        <f t="shared" si="74"/>
        <v>8</v>
      </c>
      <c r="L184" s="58">
        <f t="shared" si="74"/>
        <v>12</v>
      </c>
      <c r="M184" s="59">
        <f t="shared" si="74"/>
        <v>614.1999999999999</v>
      </c>
      <c r="N184" s="59">
        <f t="shared" si="74"/>
        <v>231</v>
      </c>
      <c r="O184" s="59">
        <f aca="true" t="shared" si="75" ref="O184:T184">O185+O186+O187+O188+O189+O190+O191+O192+O193+O194</f>
        <v>383.19999999999993</v>
      </c>
      <c r="P184" s="65">
        <f t="shared" si="75"/>
        <v>20974930</v>
      </c>
      <c r="Q184" s="65">
        <f t="shared" si="75"/>
        <v>10009399.999996595</v>
      </c>
      <c r="R184" s="65">
        <f t="shared" si="75"/>
        <v>8867999.999996161</v>
      </c>
      <c r="S184" s="65">
        <f t="shared" si="75"/>
        <v>2097529.9999862695</v>
      </c>
      <c r="T184" s="65">
        <f t="shared" si="75"/>
        <v>0</v>
      </c>
    </row>
    <row r="185" spans="1:20" ht="47.25">
      <c r="A185" s="43">
        <v>157</v>
      </c>
      <c r="B185" s="57" t="s">
        <v>233</v>
      </c>
      <c r="C185" s="71">
        <v>35</v>
      </c>
      <c r="D185" s="72">
        <v>40898</v>
      </c>
      <c r="E185" s="130" t="s">
        <v>186</v>
      </c>
      <c r="F185" s="130" t="s">
        <v>625</v>
      </c>
      <c r="G185" s="58">
        <v>6</v>
      </c>
      <c r="H185" s="58">
        <v>6</v>
      </c>
      <c r="I185" s="59">
        <v>57.2</v>
      </c>
      <c r="J185" s="58">
        <v>2</v>
      </c>
      <c r="K185" s="58">
        <v>1</v>
      </c>
      <c r="L185" s="58">
        <v>1</v>
      </c>
      <c r="M185" s="59">
        <v>57.2</v>
      </c>
      <c r="N185" s="59">
        <v>28.7</v>
      </c>
      <c r="O185" s="73">
        <v>28.5</v>
      </c>
      <c r="P185" s="44">
        <f>M185*34150</f>
        <v>1953380</v>
      </c>
      <c r="Q185" s="65">
        <f>P185*47.7207790443%</f>
        <v>932168.1536955475</v>
      </c>
      <c r="R185" s="65">
        <f>P185*42.2790445546%</f>
        <v>825870.4005206454</v>
      </c>
      <c r="S185" s="65">
        <f>P185*10.000176401%</f>
        <v>195341.44578185378</v>
      </c>
      <c r="T185" s="65">
        <v>0</v>
      </c>
    </row>
    <row r="186" spans="1:20" ht="47.25">
      <c r="A186" s="43">
        <f>A185+1</f>
        <v>158</v>
      </c>
      <c r="B186" s="57" t="s">
        <v>234</v>
      </c>
      <c r="C186" s="71">
        <v>34</v>
      </c>
      <c r="D186" s="72">
        <v>40898</v>
      </c>
      <c r="E186" s="130" t="s">
        <v>186</v>
      </c>
      <c r="F186" s="130" t="s">
        <v>625</v>
      </c>
      <c r="G186" s="58">
        <v>5</v>
      </c>
      <c r="H186" s="58">
        <v>5</v>
      </c>
      <c r="I186" s="59">
        <v>100.7</v>
      </c>
      <c r="J186" s="58">
        <v>2</v>
      </c>
      <c r="K186" s="58">
        <v>0</v>
      </c>
      <c r="L186" s="58">
        <v>2</v>
      </c>
      <c r="M186" s="59">
        <v>100.7</v>
      </c>
      <c r="N186" s="59">
        <v>0</v>
      </c>
      <c r="O186" s="73">
        <v>100.7</v>
      </c>
      <c r="P186" s="44">
        <f aca="true" t="shared" si="76" ref="P186:P194">M186*34150</f>
        <v>3438905</v>
      </c>
      <c r="Q186" s="65">
        <f aca="true" t="shared" si="77" ref="Q186:Q194">P186*47.7207790443%</f>
        <v>1641072.256593385</v>
      </c>
      <c r="R186" s="65">
        <f aca="true" t="shared" si="78" ref="R186:R194">P186*42.2790445546%</f>
        <v>1453936.177140367</v>
      </c>
      <c r="S186" s="65">
        <f aca="true" t="shared" si="79" ref="S186:S194">P186*10.000176401%</f>
        <v>343896.56626280904</v>
      </c>
      <c r="T186" s="65">
        <v>0</v>
      </c>
    </row>
    <row r="187" spans="1:20" ht="47.25">
      <c r="A187" s="43">
        <f aca="true" t="shared" si="80" ref="A187:A194">A186+1</f>
        <v>159</v>
      </c>
      <c r="B187" s="57" t="s">
        <v>235</v>
      </c>
      <c r="C187" s="71">
        <v>27</v>
      </c>
      <c r="D187" s="72">
        <v>40896</v>
      </c>
      <c r="E187" s="130" t="s">
        <v>186</v>
      </c>
      <c r="F187" s="130" t="s">
        <v>625</v>
      </c>
      <c r="G187" s="58">
        <v>8</v>
      </c>
      <c r="H187" s="58">
        <v>8</v>
      </c>
      <c r="I187" s="59">
        <v>67.8</v>
      </c>
      <c r="J187" s="58">
        <v>2</v>
      </c>
      <c r="K187" s="58">
        <v>2</v>
      </c>
      <c r="L187" s="58">
        <v>0</v>
      </c>
      <c r="M187" s="59">
        <v>67.8</v>
      </c>
      <c r="N187" s="59">
        <v>67.8</v>
      </c>
      <c r="O187" s="73">
        <v>0</v>
      </c>
      <c r="P187" s="44">
        <f t="shared" si="76"/>
        <v>2315370</v>
      </c>
      <c r="Q187" s="65">
        <f t="shared" si="77"/>
        <v>1104912.601758009</v>
      </c>
      <c r="R187" s="65">
        <f t="shared" si="78"/>
        <v>978916.313903842</v>
      </c>
      <c r="S187" s="65">
        <f t="shared" si="79"/>
        <v>231541.08433583367</v>
      </c>
      <c r="T187" s="65">
        <v>0</v>
      </c>
    </row>
    <row r="188" spans="1:20" ht="47.25">
      <c r="A188" s="43">
        <f t="shared" si="80"/>
        <v>160</v>
      </c>
      <c r="B188" s="57" t="s">
        <v>236</v>
      </c>
      <c r="C188" s="71">
        <v>26</v>
      </c>
      <c r="D188" s="72">
        <v>40896</v>
      </c>
      <c r="E188" s="130" t="s">
        <v>186</v>
      </c>
      <c r="F188" s="130" t="s">
        <v>625</v>
      </c>
      <c r="G188" s="58">
        <v>6</v>
      </c>
      <c r="H188" s="58">
        <v>6</v>
      </c>
      <c r="I188" s="59">
        <v>51.7</v>
      </c>
      <c r="J188" s="58">
        <v>2</v>
      </c>
      <c r="K188" s="58">
        <v>2</v>
      </c>
      <c r="L188" s="58">
        <v>0</v>
      </c>
      <c r="M188" s="59">
        <v>51.7</v>
      </c>
      <c r="N188" s="59">
        <v>51.7</v>
      </c>
      <c r="O188" s="73">
        <v>0</v>
      </c>
      <c r="P188" s="44">
        <f t="shared" si="76"/>
        <v>1765555</v>
      </c>
      <c r="Q188" s="65">
        <f t="shared" si="77"/>
        <v>842536.600455591</v>
      </c>
      <c r="R188" s="65">
        <f t="shared" si="78"/>
        <v>746459.785085968</v>
      </c>
      <c r="S188" s="65">
        <f t="shared" si="79"/>
        <v>176558.61445667554</v>
      </c>
      <c r="T188" s="65">
        <v>0</v>
      </c>
    </row>
    <row r="189" spans="1:20" ht="47.25">
      <c r="A189" s="43">
        <f t="shared" si="80"/>
        <v>161</v>
      </c>
      <c r="B189" s="57" t="s">
        <v>697</v>
      </c>
      <c r="C189" s="71">
        <v>32</v>
      </c>
      <c r="D189" s="72">
        <v>40898</v>
      </c>
      <c r="E189" s="130" t="s">
        <v>186</v>
      </c>
      <c r="F189" s="130" t="s">
        <v>625</v>
      </c>
      <c r="G189" s="58">
        <v>6</v>
      </c>
      <c r="H189" s="58">
        <v>6</v>
      </c>
      <c r="I189" s="59">
        <v>60.9</v>
      </c>
      <c r="J189" s="58">
        <v>2</v>
      </c>
      <c r="K189" s="58">
        <v>1</v>
      </c>
      <c r="L189" s="58">
        <v>1</v>
      </c>
      <c r="M189" s="59">
        <v>60.9</v>
      </c>
      <c r="N189" s="59">
        <v>30.2</v>
      </c>
      <c r="O189" s="73">
        <v>30.7</v>
      </c>
      <c r="P189" s="44">
        <f t="shared" si="76"/>
        <v>2079735</v>
      </c>
      <c r="Q189" s="65">
        <f t="shared" si="77"/>
        <v>992465.7440569727</v>
      </c>
      <c r="R189" s="65">
        <f t="shared" si="78"/>
        <v>879292.0872676102</v>
      </c>
      <c r="S189" s="65">
        <f t="shared" si="79"/>
        <v>207977.16867333735</v>
      </c>
      <c r="T189" s="65">
        <v>0</v>
      </c>
    </row>
    <row r="190" spans="1:20" ht="47.25">
      <c r="A190" s="43">
        <f t="shared" si="80"/>
        <v>162</v>
      </c>
      <c r="B190" s="57" t="s">
        <v>237</v>
      </c>
      <c r="C190" s="71">
        <v>33</v>
      </c>
      <c r="D190" s="72">
        <v>40898</v>
      </c>
      <c r="E190" s="130" t="s">
        <v>186</v>
      </c>
      <c r="F190" s="130" t="s">
        <v>625</v>
      </c>
      <c r="G190" s="58">
        <v>3</v>
      </c>
      <c r="H190" s="58">
        <v>3</v>
      </c>
      <c r="I190" s="59">
        <v>43.8</v>
      </c>
      <c r="J190" s="58">
        <v>2</v>
      </c>
      <c r="K190" s="58">
        <v>1</v>
      </c>
      <c r="L190" s="58">
        <v>1</v>
      </c>
      <c r="M190" s="59">
        <v>43.8</v>
      </c>
      <c r="N190" s="59">
        <v>15.9</v>
      </c>
      <c r="O190" s="73">
        <v>27.9</v>
      </c>
      <c r="P190" s="44">
        <f t="shared" si="76"/>
        <v>1495770</v>
      </c>
      <c r="Q190" s="65">
        <f t="shared" si="77"/>
        <v>713793.0967109262</v>
      </c>
      <c r="R190" s="65">
        <f t="shared" si="78"/>
        <v>632397.2647343404</v>
      </c>
      <c r="S190" s="65">
        <f t="shared" si="79"/>
        <v>149579.6385532377</v>
      </c>
      <c r="T190" s="65">
        <v>0</v>
      </c>
    </row>
    <row r="191" spans="1:20" ht="47.25">
      <c r="A191" s="43">
        <f t="shared" si="80"/>
        <v>163</v>
      </c>
      <c r="B191" s="57" t="s">
        <v>238</v>
      </c>
      <c r="C191" s="71">
        <v>31</v>
      </c>
      <c r="D191" s="72">
        <v>40897</v>
      </c>
      <c r="E191" s="130" t="s">
        <v>186</v>
      </c>
      <c r="F191" s="130" t="s">
        <v>625</v>
      </c>
      <c r="G191" s="58">
        <v>6</v>
      </c>
      <c r="H191" s="58">
        <v>6</v>
      </c>
      <c r="I191" s="59">
        <v>52.5</v>
      </c>
      <c r="J191" s="58">
        <v>2</v>
      </c>
      <c r="K191" s="58">
        <v>0</v>
      </c>
      <c r="L191" s="58">
        <v>2</v>
      </c>
      <c r="M191" s="59">
        <v>52.5</v>
      </c>
      <c r="N191" s="59">
        <v>0</v>
      </c>
      <c r="O191" s="73">
        <v>52.5</v>
      </c>
      <c r="P191" s="44">
        <f t="shared" si="76"/>
        <v>1792875</v>
      </c>
      <c r="Q191" s="65">
        <f t="shared" si="77"/>
        <v>855573.9172904937</v>
      </c>
      <c r="R191" s="65">
        <f t="shared" si="78"/>
        <v>758010.4200582848</v>
      </c>
      <c r="S191" s="65">
        <f t="shared" si="79"/>
        <v>179290.66264942873</v>
      </c>
      <c r="T191" s="65">
        <v>0</v>
      </c>
    </row>
    <row r="192" spans="1:20" ht="47.25">
      <c r="A192" s="43">
        <f t="shared" si="80"/>
        <v>164</v>
      </c>
      <c r="B192" s="57" t="s">
        <v>239</v>
      </c>
      <c r="C192" s="71">
        <v>30</v>
      </c>
      <c r="D192" s="72">
        <v>40897</v>
      </c>
      <c r="E192" s="130" t="s">
        <v>186</v>
      </c>
      <c r="F192" s="130" t="s">
        <v>625</v>
      </c>
      <c r="G192" s="58">
        <v>4</v>
      </c>
      <c r="H192" s="58">
        <v>4</v>
      </c>
      <c r="I192" s="59">
        <v>72.7</v>
      </c>
      <c r="J192" s="58">
        <v>2</v>
      </c>
      <c r="K192" s="58">
        <v>1</v>
      </c>
      <c r="L192" s="58">
        <v>1</v>
      </c>
      <c r="M192" s="59">
        <v>72.7</v>
      </c>
      <c r="N192" s="59">
        <v>36.7</v>
      </c>
      <c r="O192" s="73">
        <v>36</v>
      </c>
      <c r="P192" s="44">
        <f t="shared" si="76"/>
        <v>2482705</v>
      </c>
      <c r="Q192" s="65">
        <f t="shared" si="77"/>
        <v>1184766.1673717885</v>
      </c>
      <c r="R192" s="65">
        <f t="shared" si="78"/>
        <v>1049663.9531092818</v>
      </c>
      <c r="S192" s="65">
        <f t="shared" si="79"/>
        <v>248274.87951644702</v>
      </c>
      <c r="T192" s="65">
        <v>0</v>
      </c>
    </row>
    <row r="193" spans="1:20" ht="47.25">
      <c r="A193" s="43">
        <f t="shared" si="80"/>
        <v>165</v>
      </c>
      <c r="B193" s="57" t="s">
        <v>240</v>
      </c>
      <c r="C193" s="71">
        <v>29</v>
      </c>
      <c r="D193" s="72">
        <v>40897</v>
      </c>
      <c r="E193" s="130" t="s">
        <v>186</v>
      </c>
      <c r="F193" s="130" t="s">
        <v>625</v>
      </c>
      <c r="G193" s="58">
        <v>8</v>
      </c>
      <c r="H193" s="58">
        <v>8</v>
      </c>
      <c r="I193" s="59">
        <v>52.9</v>
      </c>
      <c r="J193" s="58">
        <v>2</v>
      </c>
      <c r="K193" s="58">
        <v>0</v>
      </c>
      <c r="L193" s="58">
        <v>2</v>
      </c>
      <c r="M193" s="59">
        <v>52.9</v>
      </c>
      <c r="N193" s="59">
        <v>0</v>
      </c>
      <c r="O193" s="73">
        <v>52.9</v>
      </c>
      <c r="P193" s="44">
        <f t="shared" si="76"/>
        <v>1806535</v>
      </c>
      <c r="Q193" s="65">
        <f t="shared" si="77"/>
        <v>862092.575707945</v>
      </c>
      <c r="R193" s="65">
        <f t="shared" si="78"/>
        <v>763785.7375444431</v>
      </c>
      <c r="S193" s="65">
        <f t="shared" si="79"/>
        <v>180656.68674580535</v>
      </c>
      <c r="T193" s="65">
        <v>0</v>
      </c>
    </row>
    <row r="194" spans="1:20" ht="47.25">
      <c r="A194" s="43">
        <f t="shared" si="80"/>
        <v>166</v>
      </c>
      <c r="B194" s="57" t="s">
        <v>241</v>
      </c>
      <c r="C194" s="71">
        <v>28</v>
      </c>
      <c r="D194" s="72">
        <v>40896</v>
      </c>
      <c r="E194" s="130" t="s">
        <v>186</v>
      </c>
      <c r="F194" s="130" t="s">
        <v>625</v>
      </c>
      <c r="G194" s="58">
        <v>5</v>
      </c>
      <c r="H194" s="58">
        <v>5</v>
      </c>
      <c r="I194" s="59">
        <v>54</v>
      </c>
      <c r="J194" s="58">
        <v>2</v>
      </c>
      <c r="K194" s="58">
        <v>0</v>
      </c>
      <c r="L194" s="58">
        <v>2</v>
      </c>
      <c r="M194" s="59">
        <v>54</v>
      </c>
      <c r="N194" s="59">
        <v>0</v>
      </c>
      <c r="O194" s="73">
        <v>54</v>
      </c>
      <c r="P194" s="44">
        <f t="shared" si="76"/>
        <v>1844100</v>
      </c>
      <c r="Q194" s="65">
        <f t="shared" si="77"/>
        <v>880018.8863559364</v>
      </c>
      <c r="R194" s="65">
        <f t="shared" si="78"/>
        <v>779667.8606313786</v>
      </c>
      <c r="S194" s="65">
        <f t="shared" si="79"/>
        <v>184413.253010841</v>
      </c>
      <c r="T194" s="65">
        <v>0</v>
      </c>
    </row>
    <row r="195" spans="1:20" ht="15.75">
      <c r="A195" s="151" t="s">
        <v>242</v>
      </c>
      <c r="B195" s="151"/>
      <c r="C195" s="58"/>
      <c r="D195" s="58"/>
      <c r="E195" s="58"/>
      <c r="F195" s="58"/>
      <c r="G195" s="58">
        <v>21</v>
      </c>
      <c r="H195" s="58">
        <v>21</v>
      </c>
      <c r="I195" s="59">
        <v>381.6</v>
      </c>
      <c r="J195" s="58">
        <v>8</v>
      </c>
      <c r="K195" s="58">
        <v>7</v>
      </c>
      <c r="L195" s="58">
        <v>1</v>
      </c>
      <c r="M195" s="59">
        <v>381.6</v>
      </c>
      <c r="N195" s="59">
        <v>339.8</v>
      </c>
      <c r="O195" s="59">
        <v>41.8</v>
      </c>
      <c r="P195" s="65">
        <f>P196</f>
        <v>13031640</v>
      </c>
      <c r="Q195" s="65">
        <f>Q196</f>
        <v>6218800</v>
      </c>
      <c r="R195" s="65">
        <f>R196</f>
        <v>5509700</v>
      </c>
      <c r="S195" s="65">
        <f>S196</f>
        <v>1303140</v>
      </c>
      <c r="T195" s="65">
        <v>0</v>
      </c>
    </row>
    <row r="196" spans="1:20" ht="31.5">
      <c r="A196" s="71">
        <v>167</v>
      </c>
      <c r="B196" s="32" t="s">
        <v>650</v>
      </c>
      <c r="C196" s="71">
        <v>1</v>
      </c>
      <c r="D196" s="72">
        <v>40067</v>
      </c>
      <c r="E196" s="130" t="s">
        <v>186</v>
      </c>
      <c r="F196" s="130" t="s">
        <v>625</v>
      </c>
      <c r="G196" s="58">
        <v>21</v>
      </c>
      <c r="H196" s="58">
        <v>21</v>
      </c>
      <c r="I196" s="59">
        <v>381.6</v>
      </c>
      <c r="J196" s="71">
        <v>8</v>
      </c>
      <c r="K196" s="71">
        <v>7</v>
      </c>
      <c r="L196" s="71">
        <v>1</v>
      </c>
      <c r="M196" s="59">
        <v>381.6</v>
      </c>
      <c r="N196" s="59">
        <v>339.8</v>
      </c>
      <c r="O196" s="73">
        <v>41.8</v>
      </c>
      <c r="P196" s="65">
        <f>M196*34150</f>
        <v>13031640</v>
      </c>
      <c r="Q196" s="65">
        <v>6218800</v>
      </c>
      <c r="R196" s="65">
        <v>5509700</v>
      </c>
      <c r="S196" s="65">
        <v>1303140</v>
      </c>
      <c r="T196" s="65">
        <v>0</v>
      </c>
    </row>
    <row r="197" spans="1:20" ht="15.75">
      <c r="A197" s="151" t="s">
        <v>243</v>
      </c>
      <c r="B197" s="151"/>
      <c r="C197" s="58"/>
      <c r="D197" s="58"/>
      <c r="E197" s="58"/>
      <c r="F197" s="58"/>
      <c r="G197" s="58">
        <f>G198+G199+G200</f>
        <v>34</v>
      </c>
      <c r="H197" s="58">
        <f aca="true" t="shared" si="81" ref="H197:N197">H198+H199+H200</f>
        <v>34</v>
      </c>
      <c r="I197" s="59">
        <f t="shared" si="81"/>
        <v>733.3</v>
      </c>
      <c r="J197" s="58">
        <f t="shared" si="81"/>
        <v>16</v>
      </c>
      <c r="K197" s="58">
        <f t="shared" si="81"/>
        <v>12</v>
      </c>
      <c r="L197" s="58">
        <f t="shared" si="81"/>
        <v>4</v>
      </c>
      <c r="M197" s="59">
        <f t="shared" si="81"/>
        <v>733.3</v>
      </c>
      <c r="N197" s="59">
        <f t="shared" si="81"/>
        <v>549.2</v>
      </c>
      <c r="O197" s="59">
        <f aca="true" t="shared" si="82" ref="O197:T197">O198+O199+O200</f>
        <v>184.1</v>
      </c>
      <c r="P197" s="65">
        <f t="shared" si="82"/>
        <v>25042195</v>
      </c>
      <c r="Q197" s="65">
        <f t="shared" si="82"/>
        <v>12248599.99991654</v>
      </c>
      <c r="R197" s="65">
        <f t="shared" si="82"/>
        <v>10851899.999938352</v>
      </c>
      <c r="S197" s="65">
        <f t="shared" si="82"/>
        <v>1941695.0001451075</v>
      </c>
      <c r="T197" s="65">
        <f t="shared" si="82"/>
        <v>0</v>
      </c>
    </row>
    <row r="198" spans="1:20" ht="31.5">
      <c r="A198" s="43">
        <v>168</v>
      </c>
      <c r="B198" s="57" t="s">
        <v>244</v>
      </c>
      <c r="C198" s="71">
        <v>58</v>
      </c>
      <c r="D198" s="72">
        <v>40569</v>
      </c>
      <c r="E198" s="130" t="s">
        <v>186</v>
      </c>
      <c r="F198" s="130" t="s">
        <v>625</v>
      </c>
      <c r="G198" s="58">
        <v>18</v>
      </c>
      <c r="H198" s="58">
        <v>18</v>
      </c>
      <c r="I198" s="59">
        <v>392</v>
      </c>
      <c r="J198" s="71">
        <v>8</v>
      </c>
      <c r="K198" s="71">
        <v>7</v>
      </c>
      <c r="L198" s="71">
        <v>1</v>
      </c>
      <c r="M198" s="73">
        <v>392</v>
      </c>
      <c r="N198" s="73">
        <v>343.1</v>
      </c>
      <c r="O198" s="73">
        <v>48.9</v>
      </c>
      <c r="P198" s="84">
        <f>M198*34150</f>
        <v>13386800</v>
      </c>
      <c r="Q198" s="65">
        <f>P198*0.48911846585</f>
        <v>6547731.07864078</v>
      </c>
      <c r="R198" s="65">
        <f>P198*0.43334460098</f>
        <v>5801097.504399064</v>
      </c>
      <c r="S198" s="65">
        <f>P198-Q198-R198</f>
        <v>1037971.4169601556</v>
      </c>
      <c r="T198" s="65">
        <v>0</v>
      </c>
    </row>
    <row r="199" spans="1:20" ht="31.5">
      <c r="A199" s="43">
        <f>A198+1</f>
        <v>169</v>
      </c>
      <c r="B199" s="57" t="s">
        <v>245</v>
      </c>
      <c r="C199" s="71">
        <v>57</v>
      </c>
      <c r="D199" s="72">
        <v>40569</v>
      </c>
      <c r="E199" s="130" t="s">
        <v>186</v>
      </c>
      <c r="F199" s="130" t="s">
        <v>625</v>
      </c>
      <c r="G199" s="58">
        <v>9</v>
      </c>
      <c r="H199" s="58">
        <v>9</v>
      </c>
      <c r="I199" s="59">
        <v>186.9</v>
      </c>
      <c r="J199" s="71">
        <v>4</v>
      </c>
      <c r="K199" s="71">
        <v>2</v>
      </c>
      <c r="L199" s="71">
        <v>2</v>
      </c>
      <c r="M199" s="73">
        <v>186.9</v>
      </c>
      <c r="N199" s="73">
        <v>87.2</v>
      </c>
      <c r="O199" s="73">
        <v>99.7</v>
      </c>
      <c r="P199" s="84">
        <f>M199*34150</f>
        <v>6382635</v>
      </c>
      <c r="Q199" s="65">
        <f>P199*0.48911846585</f>
        <v>3121864.639280515</v>
      </c>
      <c r="R199" s="65">
        <f>P199*0.43334460098</f>
        <v>2765880.4172759824</v>
      </c>
      <c r="S199" s="65">
        <f>P199-Q199-R199</f>
        <v>494889.94344350277</v>
      </c>
      <c r="T199" s="65">
        <v>0</v>
      </c>
    </row>
    <row r="200" spans="1:20" ht="31.5">
      <c r="A200" s="43">
        <f>A199+1</f>
        <v>170</v>
      </c>
      <c r="B200" s="57" t="s">
        <v>246</v>
      </c>
      <c r="C200" s="71">
        <v>55</v>
      </c>
      <c r="D200" s="72">
        <v>40569</v>
      </c>
      <c r="E200" s="130" t="s">
        <v>186</v>
      </c>
      <c r="F200" s="130" t="s">
        <v>625</v>
      </c>
      <c r="G200" s="58">
        <v>7</v>
      </c>
      <c r="H200" s="58">
        <v>7</v>
      </c>
      <c r="I200" s="59">
        <v>154.4</v>
      </c>
      <c r="J200" s="71">
        <v>4</v>
      </c>
      <c r="K200" s="71">
        <v>3</v>
      </c>
      <c r="L200" s="71">
        <v>1</v>
      </c>
      <c r="M200" s="73">
        <v>154.4</v>
      </c>
      <c r="N200" s="73">
        <v>118.9</v>
      </c>
      <c r="O200" s="73">
        <v>35.5</v>
      </c>
      <c r="P200" s="84">
        <f>M200*34150</f>
        <v>5272760</v>
      </c>
      <c r="Q200" s="65">
        <f>P200*0.48911846585</f>
        <v>2579004.281995246</v>
      </c>
      <c r="R200" s="65">
        <f>P200*0.43334460098</f>
        <v>2284922.0782633047</v>
      </c>
      <c r="S200" s="65">
        <f>P200-Q200-R200</f>
        <v>408833.63974144915</v>
      </c>
      <c r="T200" s="65">
        <v>0</v>
      </c>
    </row>
    <row r="201" spans="1:20" ht="15.75">
      <c r="A201" s="149" t="s">
        <v>571</v>
      </c>
      <c r="B201" s="149"/>
      <c r="C201" s="58"/>
      <c r="D201" s="58"/>
      <c r="E201" s="58"/>
      <c r="F201" s="58"/>
      <c r="G201" s="58">
        <f>G202+G225+G238+G249+G362+G366+G395+G409+G427+G432+G451+G453+G465+G471+G458</f>
        <v>2481</v>
      </c>
      <c r="H201" s="58">
        <f aca="true" t="shared" si="83" ref="H201:N201">H202+H225+H238+H249+H362+H366+H395+H409+H427+H432+H451+H453+H465+H471+H458</f>
        <v>2481</v>
      </c>
      <c r="I201" s="59">
        <f t="shared" si="83"/>
        <v>38521</v>
      </c>
      <c r="J201" s="58">
        <f t="shared" si="83"/>
        <v>1082</v>
      </c>
      <c r="K201" s="58">
        <f t="shared" si="83"/>
        <v>618</v>
      </c>
      <c r="L201" s="58">
        <f t="shared" si="83"/>
        <v>464</v>
      </c>
      <c r="M201" s="59">
        <f t="shared" si="83"/>
        <v>37452.009999999995</v>
      </c>
      <c r="N201" s="59">
        <f t="shared" si="83"/>
        <v>20953.090000000004</v>
      </c>
      <c r="O201" s="59">
        <f aca="true" t="shared" si="84" ref="O201:T201">O202+O225+O238+O249+O362+O366+O395+O409+O427+O432+O451+O453+O465+O471+O458</f>
        <v>16498.92</v>
      </c>
      <c r="P201" s="65">
        <f>P202+P225+P238+P249+P362+P366+P395+P409+P427+P432+P451+P453+P465+P471+P458</f>
        <v>1278986141.5</v>
      </c>
      <c r="Q201" s="65">
        <f t="shared" si="84"/>
        <v>610687999.7868084</v>
      </c>
      <c r="R201" s="65">
        <f t="shared" si="84"/>
        <v>491322699.7956665</v>
      </c>
      <c r="S201" s="65">
        <f t="shared" si="84"/>
        <v>176975441.91752526</v>
      </c>
      <c r="T201" s="65">
        <f t="shared" si="84"/>
        <v>2124129.999999999</v>
      </c>
    </row>
    <row r="202" spans="1:20" ht="15.75">
      <c r="A202" s="149" t="s">
        <v>573</v>
      </c>
      <c r="B202" s="149"/>
      <c r="C202" s="58"/>
      <c r="D202" s="58"/>
      <c r="E202" s="58"/>
      <c r="F202" s="58"/>
      <c r="G202" s="58">
        <f>SUM(G203:G224)</f>
        <v>309</v>
      </c>
      <c r="H202" s="58">
        <f aca="true" t="shared" si="85" ref="H202:O202">SUM(H203:H224)</f>
        <v>309</v>
      </c>
      <c r="I202" s="59">
        <f t="shared" si="85"/>
        <v>3857.1799999999994</v>
      </c>
      <c r="J202" s="58">
        <f t="shared" si="85"/>
        <v>135</v>
      </c>
      <c r="K202" s="58">
        <f t="shared" si="85"/>
        <v>64</v>
      </c>
      <c r="L202" s="58">
        <f t="shared" si="85"/>
        <v>71</v>
      </c>
      <c r="M202" s="59">
        <f t="shared" si="85"/>
        <v>3857.1799999999994</v>
      </c>
      <c r="N202" s="59">
        <f t="shared" si="85"/>
        <v>1645.66</v>
      </c>
      <c r="O202" s="59">
        <f t="shared" si="85"/>
        <v>2211.52</v>
      </c>
      <c r="P202" s="65">
        <f>SUM(P203:P224)</f>
        <v>131722697</v>
      </c>
      <c r="Q202" s="58">
        <f>SUM(Q203:Q224)</f>
        <v>61162899.99988325</v>
      </c>
      <c r="R202" s="58">
        <f>SUM(R203:R224)</f>
        <v>54188699.99996328</v>
      </c>
      <c r="S202" s="58">
        <f>SUM(S203:S224)</f>
        <v>16371097.000153458</v>
      </c>
      <c r="T202" s="58">
        <f>SUM(T203:T224)</f>
        <v>0</v>
      </c>
    </row>
    <row r="203" spans="1:20" ht="47.25">
      <c r="A203" s="128">
        <v>1</v>
      </c>
      <c r="B203" s="57" t="s">
        <v>253</v>
      </c>
      <c r="C203" s="58">
        <v>37</v>
      </c>
      <c r="D203" s="72">
        <v>38036</v>
      </c>
      <c r="E203" s="130" t="s">
        <v>415</v>
      </c>
      <c r="F203" s="130" t="s">
        <v>252</v>
      </c>
      <c r="G203" s="58">
        <v>42</v>
      </c>
      <c r="H203" s="58">
        <v>42</v>
      </c>
      <c r="I203" s="59">
        <v>433.93</v>
      </c>
      <c r="J203" s="58">
        <v>16</v>
      </c>
      <c r="K203" s="58">
        <v>10</v>
      </c>
      <c r="L203" s="58">
        <v>6</v>
      </c>
      <c r="M203" s="59">
        <v>433.93</v>
      </c>
      <c r="N203" s="59">
        <v>141.59</v>
      </c>
      <c r="O203" s="59">
        <f>M203-N203</f>
        <v>292.34000000000003</v>
      </c>
      <c r="P203" s="84">
        <f>M203*34150</f>
        <v>14818709.5</v>
      </c>
      <c r="Q203" s="65">
        <f>P203*0.464330759944</f>
        <v>6880782.643524373</v>
      </c>
      <c r="R203" s="65">
        <f>P203*0.411384683385</f>
        <v>6096190.115831791</v>
      </c>
      <c r="S203" s="65">
        <f>P203-Q203-R203</f>
        <v>1841736.7406438356</v>
      </c>
      <c r="T203" s="65">
        <v>0</v>
      </c>
    </row>
    <row r="204" spans="1:20" ht="47.25">
      <c r="A204" s="128">
        <f>A203+1</f>
        <v>2</v>
      </c>
      <c r="B204" s="57" t="s">
        <v>254</v>
      </c>
      <c r="C204" s="58">
        <v>38</v>
      </c>
      <c r="D204" s="72">
        <v>38036</v>
      </c>
      <c r="E204" s="130" t="s">
        <v>415</v>
      </c>
      <c r="F204" s="130" t="s">
        <v>252</v>
      </c>
      <c r="G204" s="58">
        <v>37</v>
      </c>
      <c r="H204" s="58">
        <v>37</v>
      </c>
      <c r="I204" s="59">
        <v>427.45</v>
      </c>
      <c r="J204" s="58">
        <v>17</v>
      </c>
      <c r="K204" s="58">
        <v>6</v>
      </c>
      <c r="L204" s="58">
        <v>11</v>
      </c>
      <c r="M204" s="59">
        <v>427.45</v>
      </c>
      <c r="N204" s="59">
        <v>136.14</v>
      </c>
      <c r="O204" s="59">
        <f aca="true" t="shared" si="86" ref="O204:O223">M204-N204</f>
        <v>291.31</v>
      </c>
      <c r="P204" s="84">
        <f aca="true" t="shared" si="87" ref="P204:P223">M204*34150</f>
        <v>14597417.5</v>
      </c>
      <c r="Q204" s="65">
        <f aca="true" t="shared" si="88" ref="Q204:Q224">P204*0.464330759944</f>
        <v>6778029.960994845</v>
      </c>
      <c r="R204" s="65">
        <f aca="true" t="shared" si="89" ref="R204:R224">P204*0.411384683385</f>
        <v>6005153.976476158</v>
      </c>
      <c r="S204" s="65">
        <f aca="true" t="shared" si="90" ref="S204:S224">P204-Q204-R204</f>
        <v>1814233.5625289967</v>
      </c>
      <c r="T204" s="65">
        <v>0</v>
      </c>
    </row>
    <row r="205" spans="1:20" ht="31.5">
      <c r="A205" s="128">
        <f aca="true" t="shared" si="91" ref="A205:A224">A204+1</f>
        <v>3</v>
      </c>
      <c r="B205" s="57" t="s">
        <v>255</v>
      </c>
      <c r="C205" s="58">
        <v>64</v>
      </c>
      <c r="D205" s="72">
        <v>38043</v>
      </c>
      <c r="E205" s="130" t="s">
        <v>415</v>
      </c>
      <c r="F205" s="130" t="s">
        <v>252</v>
      </c>
      <c r="G205" s="58">
        <v>8</v>
      </c>
      <c r="H205" s="58">
        <v>8</v>
      </c>
      <c r="I205" s="59">
        <v>112.7</v>
      </c>
      <c r="J205" s="58">
        <v>4</v>
      </c>
      <c r="K205" s="58">
        <v>2</v>
      </c>
      <c r="L205" s="58">
        <v>2</v>
      </c>
      <c r="M205" s="59">
        <v>112.7</v>
      </c>
      <c r="N205" s="59">
        <v>46.76</v>
      </c>
      <c r="O205" s="59">
        <f t="shared" si="86"/>
        <v>65.94</v>
      </c>
      <c r="P205" s="84">
        <f t="shared" si="87"/>
        <v>3848705</v>
      </c>
      <c r="Q205" s="65">
        <f t="shared" si="88"/>
        <v>1787072.1174502727</v>
      </c>
      <c r="R205" s="65">
        <f t="shared" si="89"/>
        <v>1583298.2878672665</v>
      </c>
      <c r="S205" s="65">
        <f t="shared" si="90"/>
        <v>478334.5946824609</v>
      </c>
      <c r="T205" s="65">
        <v>0</v>
      </c>
    </row>
    <row r="206" spans="1:20" ht="31.5">
      <c r="A206" s="128">
        <f t="shared" si="91"/>
        <v>4</v>
      </c>
      <c r="B206" s="57" t="s">
        <v>256</v>
      </c>
      <c r="C206" s="58">
        <v>65</v>
      </c>
      <c r="D206" s="72">
        <v>38043</v>
      </c>
      <c r="E206" s="130" t="s">
        <v>415</v>
      </c>
      <c r="F206" s="130" t="s">
        <v>252</v>
      </c>
      <c r="G206" s="58">
        <v>5</v>
      </c>
      <c r="H206" s="58">
        <v>5</v>
      </c>
      <c r="I206" s="59">
        <v>110.4</v>
      </c>
      <c r="J206" s="58">
        <v>4</v>
      </c>
      <c r="K206" s="58">
        <v>2</v>
      </c>
      <c r="L206" s="58">
        <v>2</v>
      </c>
      <c r="M206" s="59">
        <v>110.4</v>
      </c>
      <c r="N206" s="59">
        <v>88</v>
      </c>
      <c r="O206" s="59">
        <f t="shared" si="86"/>
        <v>22.400000000000006</v>
      </c>
      <c r="P206" s="84">
        <f t="shared" si="87"/>
        <v>3770160</v>
      </c>
      <c r="Q206" s="65">
        <f t="shared" si="88"/>
        <v>1750601.2579104712</v>
      </c>
      <c r="R206" s="65">
        <f t="shared" si="89"/>
        <v>1550986.0779107916</v>
      </c>
      <c r="S206" s="65">
        <f t="shared" si="90"/>
        <v>468572.6641787372</v>
      </c>
      <c r="T206" s="65">
        <v>0</v>
      </c>
    </row>
    <row r="207" spans="1:20" ht="31.5">
      <c r="A207" s="128">
        <f t="shared" si="91"/>
        <v>5</v>
      </c>
      <c r="B207" s="57" t="s">
        <v>257</v>
      </c>
      <c r="C207" s="58">
        <v>66</v>
      </c>
      <c r="D207" s="72">
        <v>38043</v>
      </c>
      <c r="E207" s="130" t="s">
        <v>415</v>
      </c>
      <c r="F207" s="130" t="s">
        <v>252</v>
      </c>
      <c r="G207" s="58">
        <v>15</v>
      </c>
      <c r="H207" s="58">
        <v>15</v>
      </c>
      <c r="I207" s="59">
        <v>114.97</v>
      </c>
      <c r="J207" s="58">
        <v>4</v>
      </c>
      <c r="K207" s="58">
        <v>2</v>
      </c>
      <c r="L207" s="58">
        <v>2</v>
      </c>
      <c r="M207" s="59">
        <v>114.97</v>
      </c>
      <c r="N207" s="59">
        <v>53.06</v>
      </c>
      <c r="O207" s="59">
        <f t="shared" si="86"/>
        <v>61.91</v>
      </c>
      <c r="P207" s="84">
        <f t="shared" si="87"/>
        <v>3926225.5</v>
      </c>
      <c r="Q207" s="65">
        <f t="shared" si="88"/>
        <v>1823067.2701265116</v>
      </c>
      <c r="R207" s="65">
        <f t="shared" si="89"/>
        <v>1615189.0342156133</v>
      </c>
      <c r="S207" s="65">
        <f t="shared" si="90"/>
        <v>487969.1956578754</v>
      </c>
      <c r="T207" s="65">
        <v>0</v>
      </c>
    </row>
    <row r="208" spans="1:20" ht="47.25">
      <c r="A208" s="128">
        <f t="shared" si="91"/>
        <v>6</v>
      </c>
      <c r="B208" s="57" t="s">
        <v>258</v>
      </c>
      <c r="C208" s="58">
        <v>59</v>
      </c>
      <c r="D208" s="72">
        <v>38043</v>
      </c>
      <c r="E208" s="130" t="s">
        <v>415</v>
      </c>
      <c r="F208" s="130" t="s">
        <v>252</v>
      </c>
      <c r="G208" s="58">
        <v>10</v>
      </c>
      <c r="H208" s="58">
        <v>10</v>
      </c>
      <c r="I208" s="59">
        <v>157</v>
      </c>
      <c r="J208" s="58">
        <v>4</v>
      </c>
      <c r="K208" s="58">
        <v>2</v>
      </c>
      <c r="L208" s="58">
        <v>2</v>
      </c>
      <c r="M208" s="59">
        <v>157</v>
      </c>
      <c r="N208" s="59">
        <v>78.48</v>
      </c>
      <c r="O208" s="59">
        <f t="shared" si="86"/>
        <v>78.52</v>
      </c>
      <c r="P208" s="84">
        <f t="shared" si="87"/>
        <v>5361550</v>
      </c>
      <c r="Q208" s="65">
        <f t="shared" si="88"/>
        <v>2489532.585977753</v>
      </c>
      <c r="R208" s="65">
        <f t="shared" si="89"/>
        <v>2205659.549202847</v>
      </c>
      <c r="S208" s="65">
        <f t="shared" si="90"/>
        <v>666357.8648194</v>
      </c>
      <c r="T208" s="65">
        <v>0</v>
      </c>
    </row>
    <row r="209" spans="1:20" ht="47.25">
      <c r="A209" s="128">
        <f t="shared" si="91"/>
        <v>7</v>
      </c>
      <c r="B209" s="57" t="s">
        <v>259</v>
      </c>
      <c r="C209" s="58">
        <v>60</v>
      </c>
      <c r="D209" s="72">
        <v>38043</v>
      </c>
      <c r="E209" s="130" t="s">
        <v>415</v>
      </c>
      <c r="F209" s="130" t="s">
        <v>252</v>
      </c>
      <c r="G209" s="58">
        <v>9</v>
      </c>
      <c r="H209" s="58">
        <v>9</v>
      </c>
      <c r="I209" s="59">
        <v>162.1</v>
      </c>
      <c r="J209" s="58">
        <v>4</v>
      </c>
      <c r="K209" s="58">
        <v>2</v>
      </c>
      <c r="L209" s="58">
        <v>2</v>
      </c>
      <c r="M209" s="59">
        <v>162.1</v>
      </c>
      <c r="N209" s="59">
        <v>81.4</v>
      </c>
      <c r="O209" s="59">
        <f t="shared" si="86"/>
        <v>80.69999999999999</v>
      </c>
      <c r="P209" s="84">
        <f t="shared" si="87"/>
        <v>5535715</v>
      </c>
      <c r="Q209" s="65">
        <f t="shared" si="88"/>
        <v>2570402.7527834</v>
      </c>
      <c r="R209" s="65">
        <f t="shared" si="89"/>
        <v>2277308.362584595</v>
      </c>
      <c r="S209" s="65">
        <f t="shared" si="90"/>
        <v>688003.8846320049</v>
      </c>
      <c r="T209" s="65">
        <v>0</v>
      </c>
    </row>
    <row r="210" spans="1:20" ht="31.5">
      <c r="A210" s="128">
        <f t="shared" si="91"/>
        <v>8</v>
      </c>
      <c r="B210" s="57" t="s">
        <v>260</v>
      </c>
      <c r="C210" s="58">
        <v>63</v>
      </c>
      <c r="D210" s="72">
        <v>38043</v>
      </c>
      <c r="E210" s="130" t="s">
        <v>415</v>
      </c>
      <c r="F210" s="130" t="s">
        <v>252</v>
      </c>
      <c r="G210" s="58">
        <v>6</v>
      </c>
      <c r="H210" s="58">
        <v>6</v>
      </c>
      <c r="I210" s="59">
        <v>94.03</v>
      </c>
      <c r="J210" s="58">
        <v>3</v>
      </c>
      <c r="K210" s="58">
        <v>1</v>
      </c>
      <c r="L210" s="58">
        <v>2</v>
      </c>
      <c r="M210" s="59">
        <v>94.03</v>
      </c>
      <c r="N210" s="59">
        <v>23.1</v>
      </c>
      <c r="O210" s="59">
        <f t="shared" si="86"/>
        <v>70.93</v>
      </c>
      <c r="P210" s="84">
        <f t="shared" si="87"/>
        <v>3211124.5</v>
      </c>
      <c r="Q210" s="65">
        <f t="shared" si="88"/>
        <v>1491023.879359797</v>
      </c>
      <c r="R210" s="65">
        <f t="shared" si="89"/>
        <v>1321007.4357423165</v>
      </c>
      <c r="S210" s="65">
        <f t="shared" si="90"/>
        <v>399093.18489788636</v>
      </c>
      <c r="T210" s="65">
        <v>0</v>
      </c>
    </row>
    <row r="211" spans="1:20" ht="31.5">
      <c r="A211" s="128">
        <f t="shared" si="91"/>
        <v>9</v>
      </c>
      <c r="B211" s="57" t="s">
        <v>261</v>
      </c>
      <c r="C211" s="58">
        <v>45</v>
      </c>
      <c r="D211" s="72">
        <v>38036</v>
      </c>
      <c r="E211" s="130" t="s">
        <v>415</v>
      </c>
      <c r="F211" s="130" t="s">
        <v>252</v>
      </c>
      <c r="G211" s="58">
        <v>19</v>
      </c>
      <c r="H211" s="58">
        <v>19</v>
      </c>
      <c r="I211" s="59">
        <v>204.26</v>
      </c>
      <c r="J211" s="58">
        <v>8</v>
      </c>
      <c r="K211" s="58">
        <v>2</v>
      </c>
      <c r="L211" s="58">
        <v>6</v>
      </c>
      <c r="M211" s="59">
        <v>204.26</v>
      </c>
      <c r="N211" s="59">
        <v>45.7</v>
      </c>
      <c r="O211" s="59">
        <f t="shared" si="86"/>
        <v>158.56</v>
      </c>
      <c r="P211" s="84">
        <f t="shared" si="87"/>
        <v>6975479</v>
      </c>
      <c r="Q211" s="65">
        <f t="shared" si="88"/>
        <v>3238929.4650434135</v>
      </c>
      <c r="R211" s="65">
        <f t="shared" si="89"/>
        <v>2869605.2198737166</v>
      </c>
      <c r="S211" s="65">
        <f t="shared" si="90"/>
        <v>866944.31508287</v>
      </c>
      <c r="T211" s="65">
        <v>0</v>
      </c>
    </row>
    <row r="212" spans="1:20" ht="47.25">
      <c r="A212" s="128">
        <f t="shared" si="91"/>
        <v>10</v>
      </c>
      <c r="B212" s="57" t="s">
        <v>262</v>
      </c>
      <c r="C212" s="58">
        <v>36</v>
      </c>
      <c r="D212" s="72">
        <v>38036</v>
      </c>
      <c r="E212" s="130" t="s">
        <v>415</v>
      </c>
      <c r="F212" s="130" t="s">
        <v>252</v>
      </c>
      <c r="G212" s="58">
        <v>33</v>
      </c>
      <c r="H212" s="58">
        <v>33</v>
      </c>
      <c r="I212" s="59">
        <v>460.1</v>
      </c>
      <c r="J212" s="58">
        <v>17</v>
      </c>
      <c r="K212" s="58">
        <v>8</v>
      </c>
      <c r="L212" s="58">
        <v>9</v>
      </c>
      <c r="M212" s="59">
        <v>460.1</v>
      </c>
      <c r="N212" s="59">
        <v>231.96</v>
      </c>
      <c r="O212" s="59">
        <f t="shared" si="86"/>
        <v>228.14000000000001</v>
      </c>
      <c r="P212" s="84">
        <f t="shared" si="87"/>
        <v>15712415</v>
      </c>
      <c r="Q212" s="65">
        <f t="shared" si="88"/>
        <v>7295757.597505505</v>
      </c>
      <c r="R212" s="65">
        <f t="shared" si="89"/>
        <v>6463846.869988725</v>
      </c>
      <c r="S212" s="65">
        <f t="shared" si="90"/>
        <v>1952810.5325057693</v>
      </c>
      <c r="T212" s="65">
        <v>0</v>
      </c>
    </row>
    <row r="213" spans="1:20" ht="31.5">
      <c r="A213" s="128">
        <f t="shared" si="91"/>
        <v>11</v>
      </c>
      <c r="B213" s="57" t="s">
        <v>263</v>
      </c>
      <c r="C213" s="58">
        <v>19</v>
      </c>
      <c r="D213" s="72">
        <v>38033</v>
      </c>
      <c r="E213" s="130" t="s">
        <v>415</v>
      </c>
      <c r="F213" s="130" t="s">
        <v>252</v>
      </c>
      <c r="G213" s="58">
        <v>7</v>
      </c>
      <c r="H213" s="58">
        <v>7</v>
      </c>
      <c r="I213" s="59">
        <v>102.2</v>
      </c>
      <c r="J213" s="58">
        <v>5</v>
      </c>
      <c r="K213" s="58">
        <v>3</v>
      </c>
      <c r="L213" s="58">
        <v>2</v>
      </c>
      <c r="M213" s="59">
        <v>102.2</v>
      </c>
      <c r="N213" s="59">
        <v>44.23</v>
      </c>
      <c r="O213" s="59">
        <f t="shared" si="86"/>
        <v>57.970000000000006</v>
      </c>
      <c r="P213" s="84">
        <f t="shared" si="87"/>
        <v>3490130</v>
      </c>
      <c r="Q213" s="65">
        <f t="shared" si="88"/>
        <v>1620574.7152033527</v>
      </c>
      <c r="R213" s="65">
        <f t="shared" si="89"/>
        <v>1435786.0250224902</v>
      </c>
      <c r="S213" s="65">
        <f t="shared" si="90"/>
        <v>433769.2597741571</v>
      </c>
      <c r="T213" s="65">
        <v>0</v>
      </c>
    </row>
    <row r="214" spans="1:20" ht="31.5">
      <c r="A214" s="128">
        <f t="shared" si="91"/>
        <v>12</v>
      </c>
      <c r="B214" s="57" t="s">
        <v>264</v>
      </c>
      <c r="C214" s="58">
        <v>20</v>
      </c>
      <c r="D214" s="72">
        <v>38033</v>
      </c>
      <c r="E214" s="130" t="s">
        <v>415</v>
      </c>
      <c r="F214" s="130" t="s">
        <v>252</v>
      </c>
      <c r="G214" s="58">
        <v>15</v>
      </c>
      <c r="H214" s="58">
        <v>15</v>
      </c>
      <c r="I214" s="59">
        <v>183.43</v>
      </c>
      <c r="J214" s="58">
        <v>7</v>
      </c>
      <c r="K214" s="58">
        <v>5</v>
      </c>
      <c r="L214" s="58">
        <v>2</v>
      </c>
      <c r="M214" s="59">
        <v>183.43</v>
      </c>
      <c r="N214" s="59">
        <v>130.07</v>
      </c>
      <c r="O214" s="59">
        <f t="shared" si="86"/>
        <v>53.360000000000014</v>
      </c>
      <c r="P214" s="84">
        <f t="shared" si="87"/>
        <v>6264134.5</v>
      </c>
      <c r="Q214" s="65">
        <f t="shared" si="88"/>
        <v>2908630.3327764287</v>
      </c>
      <c r="R214" s="65">
        <f t="shared" si="89"/>
        <v>2576968.9879635554</v>
      </c>
      <c r="S214" s="65">
        <f t="shared" si="90"/>
        <v>778535.179260016</v>
      </c>
      <c r="T214" s="65">
        <v>0</v>
      </c>
    </row>
    <row r="215" spans="1:20" ht="31.5">
      <c r="A215" s="128">
        <f t="shared" si="91"/>
        <v>13</v>
      </c>
      <c r="B215" s="57" t="s">
        <v>265</v>
      </c>
      <c r="C215" s="58">
        <v>22</v>
      </c>
      <c r="D215" s="72">
        <v>38035</v>
      </c>
      <c r="E215" s="130" t="s">
        <v>415</v>
      </c>
      <c r="F215" s="130" t="s">
        <v>252</v>
      </c>
      <c r="G215" s="58">
        <v>4</v>
      </c>
      <c r="H215" s="58">
        <v>4</v>
      </c>
      <c r="I215" s="59">
        <v>69.6</v>
      </c>
      <c r="J215" s="58">
        <v>3</v>
      </c>
      <c r="K215" s="58">
        <v>2</v>
      </c>
      <c r="L215" s="58">
        <v>1</v>
      </c>
      <c r="M215" s="59">
        <v>69.6</v>
      </c>
      <c r="N215" s="59">
        <v>32.3</v>
      </c>
      <c r="O215" s="59">
        <f t="shared" si="86"/>
        <v>37.3</v>
      </c>
      <c r="P215" s="84">
        <f t="shared" si="87"/>
        <v>2376840</v>
      </c>
      <c r="Q215" s="65">
        <f t="shared" si="88"/>
        <v>1103639.923465297</v>
      </c>
      <c r="R215" s="65">
        <f t="shared" si="89"/>
        <v>977795.5708568034</v>
      </c>
      <c r="S215" s="65">
        <f t="shared" si="90"/>
        <v>295404.50567789946</v>
      </c>
      <c r="T215" s="65">
        <v>0</v>
      </c>
    </row>
    <row r="216" spans="1:20" ht="31.5">
      <c r="A216" s="128">
        <f t="shared" si="91"/>
        <v>14</v>
      </c>
      <c r="B216" s="57" t="s">
        <v>266</v>
      </c>
      <c r="C216" s="58">
        <v>12</v>
      </c>
      <c r="D216" s="72">
        <v>38033</v>
      </c>
      <c r="E216" s="130" t="s">
        <v>415</v>
      </c>
      <c r="F216" s="130" t="s">
        <v>252</v>
      </c>
      <c r="G216" s="58">
        <v>11</v>
      </c>
      <c r="H216" s="58">
        <v>11</v>
      </c>
      <c r="I216" s="59">
        <v>216.35</v>
      </c>
      <c r="J216" s="58">
        <v>6</v>
      </c>
      <c r="K216" s="58">
        <v>3</v>
      </c>
      <c r="L216" s="58">
        <v>3</v>
      </c>
      <c r="M216" s="59">
        <v>216.35</v>
      </c>
      <c r="N216" s="59">
        <v>112.93</v>
      </c>
      <c r="O216" s="59">
        <f t="shared" si="86"/>
        <v>103.41999999999999</v>
      </c>
      <c r="P216" s="84">
        <f t="shared" si="87"/>
        <v>7388352.5</v>
      </c>
      <c r="Q216" s="65">
        <f t="shared" si="88"/>
        <v>3430639.3310591523</v>
      </c>
      <c r="R216" s="65">
        <f t="shared" si="89"/>
        <v>3039455.053949273</v>
      </c>
      <c r="S216" s="65">
        <f t="shared" si="90"/>
        <v>918258.1149915745</v>
      </c>
      <c r="T216" s="65">
        <v>0</v>
      </c>
    </row>
    <row r="217" spans="1:20" ht="31.5">
      <c r="A217" s="128">
        <f t="shared" si="91"/>
        <v>15</v>
      </c>
      <c r="B217" s="57" t="s">
        <v>267</v>
      </c>
      <c r="C217" s="71">
        <v>7</v>
      </c>
      <c r="D217" s="72">
        <v>38033</v>
      </c>
      <c r="E217" s="130" t="s">
        <v>415</v>
      </c>
      <c r="F217" s="130" t="s">
        <v>252</v>
      </c>
      <c r="G217" s="58">
        <v>23</v>
      </c>
      <c r="H217" s="58">
        <v>23</v>
      </c>
      <c r="I217" s="59">
        <v>224.07</v>
      </c>
      <c r="J217" s="71">
        <v>7</v>
      </c>
      <c r="K217" s="71">
        <v>4</v>
      </c>
      <c r="L217" s="71">
        <v>3</v>
      </c>
      <c r="M217" s="59">
        <v>224.07</v>
      </c>
      <c r="N217" s="59">
        <v>124.47</v>
      </c>
      <c r="O217" s="59">
        <f t="shared" si="86"/>
        <v>99.6</v>
      </c>
      <c r="P217" s="84">
        <f t="shared" si="87"/>
        <v>7651990.5</v>
      </c>
      <c r="Q217" s="65">
        <f t="shared" si="88"/>
        <v>3553054.563949269</v>
      </c>
      <c r="R217" s="65">
        <f t="shared" si="89"/>
        <v>3147911.689107528</v>
      </c>
      <c r="S217" s="65">
        <f t="shared" si="90"/>
        <v>951024.2469432033</v>
      </c>
      <c r="T217" s="65">
        <v>0</v>
      </c>
    </row>
    <row r="218" spans="1:20" ht="31.5">
      <c r="A218" s="128">
        <f t="shared" si="91"/>
        <v>16</v>
      </c>
      <c r="B218" s="57" t="s">
        <v>268</v>
      </c>
      <c r="C218" s="71">
        <v>1</v>
      </c>
      <c r="D218" s="72">
        <v>38033</v>
      </c>
      <c r="E218" s="130" t="s">
        <v>415</v>
      </c>
      <c r="F218" s="130" t="s">
        <v>252</v>
      </c>
      <c r="G218" s="58">
        <v>6</v>
      </c>
      <c r="H218" s="58">
        <v>6</v>
      </c>
      <c r="I218" s="59">
        <v>107.24</v>
      </c>
      <c r="J218" s="71">
        <v>2</v>
      </c>
      <c r="K218" s="71">
        <v>1</v>
      </c>
      <c r="L218" s="71">
        <v>1</v>
      </c>
      <c r="M218" s="59">
        <v>107.24</v>
      </c>
      <c r="N218" s="59">
        <v>54</v>
      </c>
      <c r="O218" s="59">
        <f t="shared" si="86"/>
        <v>53.239999999999995</v>
      </c>
      <c r="P218" s="84">
        <f t="shared" si="87"/>
        <v>3662246</v>
      </c>
      <c r="Q218" s="65">
        <f t="shared" si="88"/>
        <v>1700493.4682818744</v>
      </c>
      <c r="R218" s="65">
        <f t="shared" si="89"/>
        <v>1506591.9111879827</v>
      </c>
      <c r="S218" s="65">
        <f t="shared" si="90"/>
        <v>455160.6205301429</v>
      </c>
      <c r="T218" s="65">
        <v>0</v>
      </c>
    </row>
    <row r="219" spans="1:20" ht="31.5">
      <c r="A219" s="128">
        <f t="shared" si="91"/>
        <v>17</v>
      </c>
      <c r="B219" s="57" t="s">
        <v>269</v>
      </c>
      <c r="C219" s="71">
        <v>32</v>
      </c>
      <c r="D219" s="72">
        <v>38035</v>
      </c>
      <c r="E219" s="130" t="s">
        <v>415</v>
      </c>
      <c r="F219" s="130" t="s">
        <v>252</v>
      </c>
      <c r="G219" s="58">
        <v>21</v>
      </c>
      <c r="H219" s="58">
        <v>21</v>
      </c>
      <c r="I219" s="59">
        <v>152.9</v>
      </c>
      <c r="J219" s="71">
        <v>6</v>
      </c>
      <c r="K219" s="71">
        <v>3</v>
      </c>
      <c r="L219" s="71">
        <v>3</v>
      </c>
      <c r="M219" s="59">
        <v>152.9</v>
      </c>
      <c r="N219" s="59">
        <v>63.7</v>
      </c>
      <c r="O219" s="59">
        <f t="shared" si="86"/>
        <v>89.2</v>
      </c>
      <c r="P219" s="84">
        <f t="shared" si="87"/>
        <v>5221535</v>
      </c>
      <c r="Q219" s="65">
        <f t="shared" si="88"/>
        <v>2424519.314624194</v>
      </c>
      <c r="R219" s="65">
        <f t="shared" si="89"/>
        <v>2148059.522758696</v>
      </c>
      <c r="S219" s="65">
        <f t="shared" si="90"/>
        <v>648956.1626171097</v>
      </c>
      <c r="T219" s="65">
        <v>0</v>
      </c>
    </row>
    <row r="220" spans="1:20" ht="31.5">
      <c r="A220" s="128">
        <f t="shared" si="91"/>
        <v>18</v>
      </c>
      <c r="B220" s="57" t="s">
        <v>270</v>
      </c>
      <c r="C220" s="71">
        <v>68</v>
      </c>
      <c r="D220" s="72">
        <v>38043</v>
      </c>
      <c r="E220" s="130" t="s">
        <v>415</v>
      </c>
      <c r="F220" s="130" t="s">
        <v>252</v>
      </c>
      <c r="G220" s="58">
        <v>17</v>
      </c>
      <c r="H220" s="58">
        <v>17</v>
      </c>
      <c r="I220" s="59">
        <v>199.4</v>
      </c>
      <c r="J220" s="71">
        <v>6</v>
      </c>
      <c r="K220" s="71">
        <v>2</v>
      </c>
      <c r="L220" s="71">
        <v>4</v>
      </c>
      <c r="M220" s="59">
        <v>199.4</v>
      </c>
      <c r="N220" s="59">
        <v>52.1</v>
      </c>
      <c r="O220" s="59">
        <f t="shared" si="86"/>
        <v>147.3</v>
      </c>
      <c r="P220" s="84">
        <f t="shared" si="87"/>
        <v>6809510</v>
      </c>
      <c r="Q220" s="65">
        <f t="shared" si="88"/>
        <v>3161864.9531462677</v>
      </c>
      <c r="R220" s="65">
        <f t="shared" si="89"/>
        <v>2801328.1153569915</v>
      </c>
      <c r="S220" s="65">
        <f t="shared" si="90"/>
        <v>846316.9314967408</v>
      </c>
      <c r="T220" s="65">
        <v>0</v>
      </c>
    </row>
    <row r="221" spans="1:20" ht="31.5">
      <c r="A221" s="128">
        <f t="shared" si="91"/>
        <v>19</v>
      </c>
      <c r="B221" s="57" t="s">
        <v>271</v>
      </c>
      <c r="C221" s="71">
        <v>46</v>
      </c>
      <c r="D221" s="72">
        <v>38036</v>
      </c>
      <c r="E221" s="130" t="s">
        <v>415</v>
      </c>
      <c r="F221" s="130" t="s">
        <v>252</v>
      </c>
      <c r="G221" s="58">
        <v>2</v>
      </c>
      <c r="H221" s="58">
        <v>2</v>
      </c>
      <c r="I221" s="59">
        <v>69.5</v>
      </c>
      <c r="J221" s="71">
        <v>2</v>
      </c>
      <c r="K221" s="71">
        <v>2</v>
      </c>
      <c r="L221" s="71">
        <v>0</v>
      </c>
      <c r="M221" s="59">
        <v>69.5</v>
      </c>
      <c r="N221" s="59">
        <v>69.5</v>
      </c>
      <c r="O221" s="59">
        <f t="shared" si="86"/>
        <v>0</v>
      </c>
      <c r="P221" s="84">
        <f t="shared" si="87"/>
        <v>2373425</v>
      </c>
      <c r="Q221" s="65">
        <f t="shared" si="88"/>
        <v>1102054.2339200883</v>
      </c>
      <c r="R221" s="65">
        <f t="shared" si="89"/>
        <v>976390.6921630437</v>
      </c>
      <c r="S221" s="65">
        <f t="shared" si="90"/>
        <v>294980.0739168681</v>
      </c>
      <c r="T221" s="65">
        <v>0</v>
      </c>
    </row>
    <row r="222" spans="1:20" ht="31.5">
      <c r="A222" s="128">
        <f t="shared" si="91"/>
        <v>20</v>
      </c>
      <c r="B222" s="57" t="s">
        <v>272</v>
      </c>
      <c r="C222" s="71">
        <v>23</v>
      </c>
      <c r="D222" s="72">
        <v>38035</v>
      </c>
      <c r="E222" s="130" t="s">
        <v>415</v>
      </c>
      <c r="F222" s="130" t="s">
        <v>252</v>
      </c>
      <c r="G222" s="58">
        <v>9</v>
      </c>
      <c r="H222" s="58">
        <v>9</v>
      </c>
      <c r="I222" s="59">
        <v>94</v>
      </c>
      <c r="J222" s="71">
        <v>3</v>
      </c>
      <c r="K222" s="71">
        <v>0</v>
      </c>
      <c r="L222" s="71">
        <v>3</v>
      </c>
      <c r="M222" s="59">
        <v>94</v>
      </c>
      <c r="N222" s="59">
        <v>0</v>
      </c>
      <c r="O222" s="59">
        <f t="shared" si="86"/>
        <v>94</v>
      </c>
      <c r="P222" s="84">
        <f t="shared" si="87"/>
        <v>3210100</v>
      </c>
      <c r="Q222" s="65">
        <f t="shared" si="88"/>
        <v>1490548.1724962345</v>
      </c>
      <c r="R222" s="65">
        <f t="shared" si="89"/>
        <v>1320585.9721341885</v>
      </c>
      <c r="S222" s="65">
        <f t="shared" si="90"/>
        <v>398965.85536957695</v>
      </c>
      <c r="T222" s="65">
        <v>0</v>
      </c>
    </row>
    <row r="223" spans="1:20" ht="31.5">
      <c r="A223" s="128">
        <f t="shared" si="91"/>
        <v>21</v>
      </c>
      <c r="B223" s="57" t="s">
        <v>273</v>
      </c>
      <c r="C223" s="71">
        <v>39</v>
      </c>
      <c r="D223" s="72">
        <v>38036</v>
      </c>
      <c r="E223" s="130" t="s">
        <v>415</v>
      </c>
      <c r="F223" s="130" t="s">
        <v>252</v>
      </c>
      <c r="G223" s="58">
        <v>6</v>
      </c>
      <c r="H223" s="58">
        <v>6</v>
      </c>
      <c r="I223" s="59">
        <v>118.35</v>
      </c>
      <c r="J223" s="71">
        <v>5</v>
      </c>
      <c r="K223" s="71">
        <v>2</v>
      </c>
      <c r="L223" s="71">
        <v>3</v>
      </c>
      <c r="M223" s="59">
        <v>118.35</v>
      </c>
      <c r="N223" s="59">
        <v>36.17</v>
      </c>
      <c r="O223" s="59">
        <f t="shared" si="86"/>
        <v>82.17999999999999</v>
      </c>
      <c r="P223" s="84">
        <f t="shared" si="87"/>
        <v>4041652.5</v>
      </c>
      <c r="Q223" s="65">
        <f t="shared" si="88"/>
        <v>1876663.5767545677</v>
      </c>
      <c r="R223" s="65">
        <f t="shared" si="89"/>
        <v>1662673.9340646937</v>
      </c>
      <c r="S223" s="65">
        <f t="shared" si="90"/>
        <v>502314.9891807386</v>
      </c>
      <c r="T223" s="65">
        <v>0</v>
      </c>
    </row>
    <row r="224" spans="1:20" ht="31.5">
      <c r="A224" s="128">
        <f t="shared" si="91"/>
        <v>22</v>
      </c>
      <c r="B224" s="57" t="s">
        <v>274</v>
      </c>
      <c r="C224" s="71">
        <v>17</v>
      </c>
      <c r="D224" s="72">
        <v>38033</v>
      </c>
      <c r="E224" s="130" t="s">
        <v>415</v>
      </c>
      <c r="F224" s="130" t="s">
        <v>252</v>
      </c>
      <c r="G224" s="58">
        <v>4</v>
      </c>
      <c r="H224" s="58">
        <v>4</v>
      </c>
      <c r="I224" s="59">
        <v>43.2</v>
      </c>
      <c r="J224" s="71">
        <v>2</v>
      </c>
      <c r="K224" s="71">
        <v>0</v>
      </c>
      <c r="L224" s="71">
        <v>2</v>
      </c>
      <c r="M224" s="59">
        <v>43.2</v>
      </c>
      <c r="N224" s="59">
        <v>0</v>
      </c>
      <c r="O224" s="73">
        <v>43.2</v>
      </c>
      <c r="P224" s="84">
        <f>M224*34150</f>
        <v>1475280</v>
      </c>
      <c r="Q224" s="65">
        <f t="shared" si="88"/>
        <v>685017.8835301844</v>
      </c>
      <c r="R224" s="65">
        <f t="shared" si="89"/>
        <v>606907.5957042228</v>
      </c>
      <c r="S224" s="65">
        <f t="shared" si="90"/>
        <v>183354.5207655928</v>
      </c>
      <c r="T224" s="65">
        <v>0</v>
      </c>
    </row>
    <row r="225" spans="1:20" ht="15.75">
      <c r="A225" s="149" t="s">
        <v>615</v>
      </c>
      <c r="B225" s="149"/>
      <c r="C225" s="58"/>
      <c r="D225" s="58"/>
      <c r="E225" s="58"/>
      <c r="F225" s="58"/>
      <c r="G225" s="131">
        <f aca="true" t="shared" si="92" ref="G225:L225">SUM(G226:G237)</f>
        <v>268</v>
      </c>
      <c r="H225" s="131">
        <f t="shared" si="92"/>
        <v>268</v>
      </c>
      <c r="I225" s="59">
        <f t="shared" si="92"/>
        <v>4170.900000000001</v>
      </c>
      <c r="J225" s="131">
        <f t="shared" si="92"/>
        <v>106</v>
      </c>
      <c r="K225" s="131">
        <f t="shared" si="92"/>
        <v>68</v>
      </c>
      <c r="L225" s="131">
        <f t="shared" si="92"/>
        <v>38</v>
      </c>
      <c r="M225" s="59">
        <f aca="true" t="shared" si="93" ref="M225:T225">SUM(M226:M237)</f>
        <v>4170.900000000001</v>
      </c>
      <c r="N225" s="59">
        <f t="shared" si="93"/>
        <v>2608.1</v>
      </c>
      <c r="O225" s="59">
        <f t="shared" si="93"/>
        <v>1562.8</v>
      </c>
      <c r="P225" s="65">
        <f t="shared" si="93"/>
        <v>142436235</v>
      </c>
      <c r="Q225" s="65">
        <f t="shared" si="93"/>
        <v>72810000</v>
      </c>
      <c r="R225" s="65">
        <f t="shared" si="93"/>
        <v>33992600</v>
      </c>
      <c r="S225" s="65">
        <f t="shared" si="93"/>
        <v>35633635</v>
      </c>
      <c r="T225" s="65">
        <f t="shared" si="93"/>
        <v>0</v>
      </c>
    </row>
    <row r="226" spans="1:20" ht="31.5">
      <c r="A226" s="71">
        <v>23</v>
      </c>
      <c r="B226" s="36" t="s">
        <v>275</v>
      </c>
      <c r="C226" s="33">
        <v>29</v>
      </c>
      <c r="D226" s="130">
        <v>39792</v>
      </c>
      <c r="E226" s="130" t="s">
        <v>415</v>
      </c>
      <c r="F226" s="130" t="s">
        <v>252</v>
      </c>
      <c r="G226" s="58">
        <v>36</v>
      </c>
      <c r="H226" s="58">
        <v>36</v>
      </c>
      <c r="I226" s="59">
        <v>732.6</v>
      </c>
      <c r="J226" s="71">
        <f>K226+L226</f>
        <v>12</v>
      </c>
      <c r="K226" s="71">
        <v>7</v>
      </c>
      <c r="L226" s="71">
        <v>5</v>
      </c>
      <c r="M226" s="59">
        <f>N226+O226</f>
        <v>732.6</v>
      </c>
      <c r="N226" s="59">
        <v>435.5</v>
      </c>
      <c r="O226" s="73">
        <v>297.1</v>
      </c>
      <c r="P226" s="81">
        <f>M226*34150</f>
        <v>25018290</v>
      </c>
      <c r="Q226" s="65">
        <v>12789067</v>
      </c>
      <c r="R226" s="65">
        <v>5969974</v>
      </c>
      <c r="S226" s="65">
        <v>6259249</v>
      </c>
      <c r="T226" s="65">
        <v>0</v>
      </c>
    </row>
    <row r="227" spans="1:20" ht="31.5">
      <c r="A227" s="71">
        <f>A226+1</f>
        <v>24</v>
      </c>
      <c r="B227" s="36" t="s">
        <v>276</v>
      </c>
      <c r="C227" s="33">
        <v>40</v>
      </c>
      <c r="D227" s="130">
        <v>39799</v>
      </c>
      <c r="E227" s="130" t="s">
        <v>415</v>
      </c>
      <c r="F227" s="130" t="s">
        <v>252</v>
      </c>
      <c r="G227" s="58">
        <v>13</v>
      </c>
      <c r="H227" s="58">
        <v>13</v>
      </c>
      <c r="I227" s="59">
        <v>176</v>
      </c>
      <c r="J227" s="71">
        <f aca="true" t="shared" si="94" ref="J227:J237">K227+L227</f>
        <v>5</v>
      </c>
      <c r="K227" s="71">
        <v>3</v>
      </c>
      <c r="L227" s="71">
        <v>2</v>
      </c>
      <c r="M227" s="59">
        <f aca="true" t="shared" si="95" ref="M227:M237">N227+O227</f>
        <v>176</v>
      </c>
      <c r="N227" s="59">
        <v>85.5</v>
      </c>
      <c r="O227" s="73">
        <v>90.5</v>
      </c>
      <c r="P227" s="81">
        <f aca="true" t="shared" si="96" ref="P227:P237">M227*34150</f>
        <v>6010400</v>
      </c>
      <c r="Q227" s="65">
        <v>3072233</v>
      </c>
      <c r="R227" s="65">
        <v>1434691</v>
      </c>
      <c r="S227" s="65">
        <v>1503476</v>
      </c>
      <c r="T227" s="65">
        <v>0</v>
      </c>
    </row>
    <row r="228" spans="1:20" ht="31.5">
      <c r="A228" s="71">
        <f aca="true" t="shared" si="97" ref="A228:A237">A227+1</f>
        <v>25</v>
      </c>
      <c r="B228" s="36" t="s">
        <v>277</v>
      </c>
      <c r="C228" s="33">
        <v>43</v>
      </c>
      <c r="D228" s="130">
        <v>39799</v>
      </c>
      <c r="E228" s="130" t="s">
        <v>415</v>
      </c>
      <c r="F228" s="130" t="s">
        <v>252</v>
      </c>
      <c r="G228" s="58">
        <v>7</v>
      </c>
      <c r="H228" s="58">
        <v>7</v>
      </c>
      <c r="I228" s="59">
        <v>54.6</v>
      </c>
      <c r="J228" s="71">
        <f t="shared" si="94"/>
        <v>2</v>
      </c>
      <c r="K228" s="71">
        <v>0</v>
      </c>
      <c r="L228" s="71">
        <v>2</v>
      </c>
      <c r="M228" s="59">
        <f t="shared" si="95"/>
        <v>54.6</v>
      </c>
      <c r="N228" s="59">
        <v>0</v>
      </c>
      <c r="O228" s="73">
        <v>54.6</v>
      </c>
      <c r="P228" s="81">
        <f t="shared" si="96"/>
        <v>1864590</v>
      </c>
      <c r="Q228" s="65">
        <v>952895</v>
      </c>
      <c r="R228" s="65">
        <v>445501</v>
      </c>
      <c r="S228" s="65">
        <v>466194</v>
      </c>
      <c r="T228" s="65">
        <v>0</v>
      </c>
    </row>
    <row r="229" spans="1:20" ht="31.5">
      <c r="A229" s="71">
        <f t="shared" si="97"/>
        <v>26</v>
      </c>
      <c r="B229" s="36" t="s">
        <v>278</v>
      </c>
      <c r="C229" s="33">
        <v>44</v>
      </c>
      <c r="D229" s="130">
        <v>39799</v>
      </c>
      <c r="E229" s="130" t="s">
        <v>415</v>
      </c>
      <c r="F229" s="130" t="s">
        <v>252</v>
      </c>
      <c r="G229" s="58">
        <v>8</v>
      </c>
      <c r="H229" s="58">
        <v>8</v>
      </c>
      <c r="I229" s="59">
        <v>81.4</v>
      </c>
      <c r="J229" s="71">
        <f t="shared" si="94"/>
        <v>3</v>
      </c>
      <c r="K229" s="71">
        <v>1</v>
      </c>
      <c r="L229" s="71">
        <v>2</v>
      </c>
      <c r="M229" s="59">
        <f t="shared" si="95"/>
        <v>81.4</v>
      </c>
      <c r="N229" s="59">
        <v>26.9</v>
      </c>
      <c r="O229" s="73">
        <v>54.5</v>
      </c>
      <c r="P229" s="81">
        <f t="shared" si="96"/>
        <v>2779810</v>
      </c>
      <c r="Q229" s="65">
        <v>1420756</v>
      </c>
      <c r="R229" s="65">
        <v>663873</v>
      </c>
      <c r="S229" s="65">
        <v>695181</v>
      </c>
      <c r="T229" s="65">
        <v>0</v>
      </c>
    </row>
    <row r="230" spans="1:20" ht="31.5">
      <c r="A230" s="71">
        <f t="shared" si="97"/>
        <v>27</v>
      </c>
      <c r="B230" s="36" t="s">
        <v>279</v>
      </c>
      <c r="C230" s="33">
        <v>45</v>
      </c>
      <c r="D230" s="130">
        <v>39799</v>
      </c>
      <c r="E230" s="130" t="s">
        <v>415</v>
      </c>
      <c r="F230" s="130" t="s">
        <v>252</v>
      </c>
      <c r="G230" s="58">
        <v>13</v>
      </c>
      <c r="H230" s="58">
        <v>13</v>
      </c>
      <c r="I230" s="59">
        <v>106.9</v>
      </c>
      <c r="J230" s="71">
        <f t="shared" si="94"/>
        <v>3</v>
      </c>
      <c r="K230" s="71">
        <v>0</v>
      </c>
      <c r="L230" s="71">
        <v>3</v>
      </c>
      <c r="M230" s="59">
        <f t="shared" si="95"/>
        <v>106.9</v>
      </c>
      <c r="N230" s="59">
        <v>0</v>
      </c>
      <c r="O230" s="73">
        <v>106.9</v>
      </c>
      <c r="P230" s="81">
        <f t="shared" si="96"/>
        <v>3650635</v>
      </c>
      <c r="Q230" s="65">
        <v>1865922</v>
      </c>
      <c r="R230" s="65">
        <v>871652</v>
      </c>
      <c r="S230" s="65">
        <v>913061</v>
      </c>
      <c r="T230" s="65">
        <v>0</v>
      </c>
    </row>
    <row r="231" spans="1:20" ht="31.5">
      <c r="A231" s="71">
        <f t="shared" si="97"/>
        <v>28</v>
      </c>
      <c r="B231" s="36" t="s">
        <v>280</v>
      </c>
      <c r="C231" s="33">
        <v>36</v>
      </c>
      <c r="D231" s="130">
        <v>39792</v>
      </c>
      <c r="E231" s="130" t="s">
        <v>415</v>
      </c>
      <c r="F231" s="130" t="s">
        <v>252</v>
      </c>
      <c r="G231" s="58">
        <v>31</v>
      </c>
      <c r="H231" s="58">
        <v>31</v>
      </c>
      <c r="I231" s="59">
        <v>616.6</v>
      </c>
      <c r="J231" s="71">
        <f t="shared" si="94"/>
        <v>16</v>
      </c>
      <c r="K231" s="71">
        <v>14</v>
      </c>
      <c r="L231" s="71">
        <v>2</v>
      </c>
      <c r="M231" s="59">
        <f t="shared" si="95"/>
        <v>616.6</v>
      </c>
      <c r="N231" s="59">
        <v>453.5</v>
      </c>
      <c r="O231" s="73">
        <v>163.1</v>
      </c>
      <c r="P231" s="81">
        <f t="shared" si="96"/>
        <v>21056890</v>
      </c>
      <c r="Q231" s="65">
        <v>10763998</v>
      </c>
      <c r="R231" s="65">
        <v>5024783</v>
      </c>
      <c r="S231" s="65">
        <v>5268109</v>
      </c>
      <c r="T231" s="65">
        <v>0</v>
      </c>
    </row>
    <row r="232" spans="1:20" ht="31.5">
      <c r="A232" s="71">
        <f t="shared" si="97"/>
        <v>29</v>
      </c>
      <c r="B232" s="36" t="s">
        <v>281</v>
      </c>
      <c r="C232" s="33">
        <v>32</v>
      </c>
      <c r="D232" s="130">
        <v>39792</v>
      </c>
      <c r="E232" s="130" t="s">
        <v>415</v>
      </c>
      <c r="F232" s="130" t="s">
        <v>252</v>
      </c>
      <c r="G232" s="58">
        <v>37</v>
      </c>
      <c r="H232" s="58">
        <v>37</v>
      </c>
      <c r="I232" s="59">
        <v>611.7</v>
      </c>
      <c r="J232" s="71">
        <f t="shared" si="94"/>
        <v>16</v>
      </c>
      <c r="K232" s="71">
        <v>13</v>
      </c>
      <c r="L232" s="71">
        <v>3</v>
      </c>
      <c r="M232" s="59">
        <f t="shared" si="95"/>
        <v>611.7</v>
      </c>
      <c r="N232" s="59">
        <v>483.4</v>
      </c>
      <c r="O232" s="73">
        <v>128.3</v>
      </c>
      <c r="P232" s="81">
        <f t="shared" si="96"/>
        <v>20889555</v>
      </c>
      <c r="Q232" s="65">
        <v>10678457</v>
      </c>
      <c r="R232" s="65">
        <v>4984857</v>
      </c>
      <c r="S232" s="65">
        <v>5226241</v>
      </c>
      <c r="T232" s="65">
        <v>0</v>
      </c>
    </row>
    <row r="233" spans="1:20" ht="31.5">
      <c r="A233" s="71">
        <f t="shared" si="97"/>
        <v>30</v>
      </c>
      <c r="B233" s="36" t="s">
        <v>282</v>
      </c>
      <c r="C233" s="33">
        <v>9</v>
      </c>
      <c r="D233" s="130">
        <v>40526</v>
      </c>
      <c r="E233" s="130" t="s">
        <v>415</v>
      </c>
      <c r="F233" s="130" t="s">
        <v>252</v>
      </c>
      <c r="G233" s="58">
        <v>29</v>
      </c>
      <c r="H233" s="58">
        <v>29</v>
      </c>
      <c r="I233" s="59">
        <v>751.1</v>
      </c>
      <c r="J233" s="71">
        <f t="shared" si="94"/>
        <v>12</v>
      </c>
      <c r="K233" s="71">
        <v>9</v>
      </c>
      <c r="L233" s="71">
        <v>3</v>
      </c>
      <c r="M233" s="59">
        <f t="shared" si="95"/>
        <v>751.0999999999999</v>
      </c>
      <c r="N233" s="59">
        <v>557.9</v>
      </c>
      <c r="O233" s="73">
        <v>193.2</v>
      </c>
      <c r="P233" s="81">
        <f t="shared" si="96"/>
        <v>25650064.999999996</v>
      </c>
      <c r="Q233" s="65">
        <v>13112029</v>
      </c>
      <c r="R233" s="65">
        <v>6120715</v>
      </c>
      <c r="S233" s="65">
        <v>6417321</v>
      </c>
      <c r="T233" s="65">
        <v>0</v>
      </c>
    </row>
    <row r="234" spans="1:20" ht="31.5">
      <c r="A234" s="71">
        <f t="shared" si="97"/>
        <v>31</v>
      </c>
      <c r="B234" s="36" t="s">
        <v>283</v>
      </c>
      <c r="C234" s="33">
        <v>7</v>
      </c>
      <c r="D234" s="130">
        <v>40526</v>
      </c>
      <c r="E234" s="130" t="s">
        <v>415</v>
      </c>
      <c r="F234" s="130" t="s">
        <v>252</v>
      </c>
      <c r="G234" s="58">
        <v>23</v>
      </c>
      <c r="H234" s="58">
        <v>23</v>
      </c>
      <c r="I234" s="59">
        <v>348.7</v>
      </c>
      <c r="J234" s="71">
        <f t="shared" si="94"/>
        <v>9</v>
      </c>
      <c r="K234" s="71">
        <v>7</v>
      </c>
      <c r="L234" s="71">
        <v>2</v>
      </c>
      <c r="M234" s="59">
        <f t="shared" si="95"/>
        <v>348.7</v>
      </c>
      <c r="N234" s="59">
        <v>251.4</v>
      </c>
      <c r="O234" s="73">
        <v>97.3</v>
      </c>
      <c r="P234" s="81">
        <f t="shared" si="96"/>
        <v>11908105</v>
      </c>
      <c r="Q234" s="65">
        <v>6087139</v>
      </c>
      <c r="R234" s="65">
        <v>2841883</v>
      </c>
      <c r="S234" s="65">
        <v>2979083</v>
      </c>
      <c r="T234" s="65">
        <v>0</v>
      </c>
    </row>
    <row r="235" spans="1:20" ht="31.5">
      <c r="A235" s="71">
        <f t="shared" si="97"/>
        <v>32</v>
      </c>
      <c r="B235" s="36" t="s">
        <v>284</v>
      </c>
      <c r="C235" s="33">
        <v>10</v>
      </c>
      <c r="D235" s="130">
        <v>40526</v>
      </c>
      <c r="E235" s="130" t="s">
        <v>415</v>
      </c>
      <c r="F235" s="130" t="s">
        <v>252</v>
      </c>
      <c r="G235" s="58">
        <v>25</v>
      </c>
      <c r="H235" s="58">
        <v>25</v>
      </c>
      <c r="I235" s="59">
        <v>175.9</v>
      </c>
      <c r="J235" s="71">
        <f t="shared" si="94"/>
        <v>10</v>
      </c>
      <c r="K235" s="71">
        <v>9</v>
      </c>
      <c r="L235" s="71">
        <v>1</v>
      </c>
      <c r="M235" s="59">
        <f t="shared" si="95"/>
        <v>175.9</v>
      </c>
      <c r="N235" s="59">
        <v>129.9</v>
      </c>
      <c r="O235" s="73">
        <v>46</v>
      </c>
      <c r="P235" s="81">
        <f t="shared" si="96"/>
        <v>6006985</v>
      </c>
      <c r="Q235" s="65">
        <v>3070487</v>
      </c>
      <c r="R235" s="65">
        <v>1433876</v>
      </c>
      <c r="S235" s="65">
        <v>1502622</v>
      </c>
      <c r="T235" s="65">
        <v>0</v>
      </c>
    </row>
    <row r="236" spans="1:20" ht="31.5">
      <c r="A236" s="71">
        <f t="shared" si="97"/>
        <v>33</v>
      </c>
      <c r="B236" s="36" t="s">
        <v>285</v>
      </c>
      <c r="C236" s="33">
        <v>6</v>
      </c>
      <c r="D236" s="130">
        <v>40526</v>
      </c>
      <c r="E236" s="130" t="s">
        <v>415</v>
      </c>
      <c r="F236" s="130" t="s">
        <v>252</v>
      </c>
      <c r="G236" s="58">
        <v>20</v>
      </c>
      <c r="H236" s="58">
        <v>20</v>
      </c>
      <c r="I236" s="59">
        <v>194.3</v>
      </c>
      <c r="J236" s="71">
        <f t="shared" si="94"/>
        <v>8</v>
      </c>
      <c r="K236" s="71">
        <v>0</v>
      </c>
      <c r="L236" s="71">
        <v>8</v>
      </c>
      <c r="M236" s="59">
        <f t="shared" si="95"/>
        <v>194.3</v>
      </c>
      <c r="N236" s="59">
        <v>0</v>
      </c>
      <c r="O236" s="73">
        <v>194.3</v>
      </c>
      <c r="P236" s="81">
        <f t="shared" si="96"/>
        <v>6635345</v>
      </c>
      <c r="Q236" s="65">
        <v>3391704</v>
      </c>
      <c r="R236" s="65">
        <v>1583802</v>
      </c>
      <c r="S236" s="65">
        <v>1659839</v>
      </c>
      <c r="T236" s="65">
        <v>0</v>
      </c>
    </row>
    <row r="237" spans="1:20" ht="31.5">
      <c r="A237" s="71">
        <f t="shared" si="97"/>
        <v>34</v>
      </c>
      <c r="B237" s="36" t="s">
        <v>286</v>
      </c>
      <c r="C237" s="33">
        <v>5</v>
      </c>
      <c r="D237" s="130">
        <v>40526</v>
      </c>
      <c r="E237" s="130" t="s">
        <v>415</v>
      </c>
      <c r="F237" s="130" t="s">
        <v>252</v>
      </c>
      <c r="G237" s="58">
        <v>26</v>
      </c>
      <c r="H237" s="58">
        <v>26</v>
      </c>
      <c r="I237" s="59">
        <v>321.1</v>
      </c>
      <c r="J237" s="71">
        <f t="shared" si="94"/>
        <v>10</v>
      </c>
      <c r="K237" s="71">
        <v>5</v>
      </c>
      <c r="L237" s="71">
        <v>5</v>
      </c>
      <c r="M237" s="59">
        <f t="shared" si="95"/>
        <v>321.1</v>
      </c>
      <c r="N237" s="59">
        <v>184.1</v>
      </c>
      <c r="O237" s="73">
        <v>137</v>
      </c>
      <c r="P237" s="81">
        <f t="shared" si="96"/>
        <v>10965565</v>
      </c>
      <c r="Q237" s="65">
        <v>5605313</v>
      </c>
      <c r="R237" s="65">
        <v>2616993</v>
      </c>
      <c r="S237" s="65">
        <v>2743259</v>
      </c>
      <c r="T237" s="65">
        <v>0</v>
      </c>
    </row>
    <row r="238" spans="1:20" ht="15.75">
      <c r="A238" s="149" t="s">
        <v>297</v>
      </c>
      <c r="B238" s="149"/>
      <c r="C238" s="58"/>
      <c r="D238" s="58"/>
      <c r="E238" s="58"/>
      <c r="F238" s="58"/>
      <c r="G238" s="58">
        <f>SUM(G239:G248)</f>
        <v>69</v>
      </c>
      <c r="H238" s="58">
        <f aca="true" t="shared" si="98" ref="H238:O238">SUM(H239:H248)</f>
        <v>69</v>
      </c>
      <c r="I238" s="59">
        <f t="shared" si="98"/>
        <v>1176.2</v>
      </c>
      <c r="J238" s="58">
        <f t="shared" si="98"/>
        <v>31</v>
      </c>
      <c r="K238" s="58">
        <f t="shared" si="98"/>
        <v>20</v>
      </c>
      <c r="L238" s="58">
        <f t="shared" si="98"/>
        <v>11</v>
      </c>
      <c r="M238" s="59">
        <f t="shared" si="98"/>
        <v>1176.2</v>
      </c>
      <c r="N238" s="59">
        <f t="shared" si="98"/>
        <v>741.8</v>
      </c>
      <c r="O238" s="59">
        <f t="shared" si="98"/>
        <v>434.4</v>
      </c>
      <c r="P238" s="65">
        <f>SUM(P239:P248)</f>
        <v>40167230</v>
      </c>
      <c r="Q238" s="58">
        <f>SUM(Q239:Q248)</f>
        <v>18907300.000000004</v>
      </c>
      <c r="R238" s="58">
        <f>SUM(R239:R248)</f>
        <v>16751400</v>
      </c>
      <c r="S238" s="58">
        <f>SUM(S239:S248)</f>
        <v>4508529.999999999</v>
      </c>
      <c r="T238" s="58">
        <f>SUM(T239:T248)</f>
        <v>1365999.9999999988</v>
      </c>
    </row>
    <row r="239" spans="1:20" ht="31.5">
      <c r="A239" s="39">
        <v>35</v>
      </c>
      <c r="B239" s="39" t="s">
        <v>287</v>
      </c>
      <c r="C239" s="40">
        <v>22</v>
      </c>
      <c r="D239" s="41">
        <v>38076</v>
      </c>
      <c r="E239" s="130" t="s">
        <v>415</v>
      </c>
      <c r="F239" s="130" t="s">
        <v>252</v>
      </c>
      <c r="G239" s="58">
        <v>3</v>
      </c>
      <c r="H239" s="58">
        <v>3</v>
      </c>
      <c r="I239" s="59">
        <v>55.6</v>
      </c>
      <c r="J239" s="58">
        <v>2</v>
      </c>
      <c r="K239" s="58">
        <v>1</v>
      </c>
      <c r="L239" s="58">
        <v>1</v>
      </c>
      <c r="M239" s="59">
        <v>55.6</v>
      </c>
      <c r="N239" s="59">
        <v>28.2</v>
      </c>
      <c r="O239" s="59">
        <v>27.4</v>
      </c>
      <c r="P239" s="83">
        <f>M239*34150</f>
        <v>1898740</v>
      </c>
      <c r="Q239" s="65">
        <v>893764.5638496855</v>
      </c>
      <c r="R239" s="65">
        <v>791853.2902567592</v>
      </c>
      <c r="S239" s="65">
        <v>213122.14589355537</v>
      </c>
      <c r="T239" s="65">
        <v>0</v>
      </c>
    </row>
    <row r="240" spans="1:20" ht="47.25">
      <c r="A240" s="39">
        <f>A239+1</f>
        <v>36</v>
      </c>
      <c r="B240" s="39" t="s">
        <v>288</v>
      </c>
      <c r="C240" s="40">
        <v>60</v>
      </c>
      <c r="D240" s="46">
        <v>38076</v>
      </c>
      <c r="E240" s="130" t="s">
        <v>415</v>
      </c>
      <c r="F240" s="130" t="s">
        <v>252</v>
      </c>
      <c r="G240" s="58">
        <v>5</v>
      </c>
      <c r="H240" s="58">
        <v>5</v>
      </c>
      <c r="I240" s="73">
        <v>115.4</v>
      </c>
      <c r="J240" s="58">
        <v>2</v>
      </c>
      <c r="K240" s="58">
        <v>2</v>
      </c>
      <c r="L240" s="58">
        <v>0</v>
      </c>
      <c r="M240" s="73">
        <v>115.4</v>
      </c>
      <c r="N240" s="59">
        <v>115.4</v>
      </c>
      <c r="O240" s="59">
        <v>0</v>
      </c>
      <c r="P240" s="83">
        <f aca="true" t="shared" si="99" ref="P240:P248">M240*34150</f>
        <v>3940910</v>
      </c>
      <c r="Q240" s="65">
        <v>1855043.7170549228</v>
      </c>
      <c r="R240" s="65">
        <v>1643522.8362523383</v>
      </c>
      <c r="S240" s="65">
        <v>442343.4466927389</v>
      </c>
      <c r="T240" s="65">
        <v>0</v>
      </c>
    </row>
    <row r="241" spans="1:20" ht="31.5">
      <c r="A241" s="39">
        <f aca="true" t="shared" si="100" ref="A241:A248">A240+1</f>
        <v>37</v>
      </c>
      <c r="B241" s="104" t="s">
        <v>289</v>
      </c>
      <c r="C241" s="40">
        <v>17</v>
      </c>
      <c r="D241" s="41">
        <v>38076</v>
      </c>
      <c r="E241" s="130" t="s">
        <v>415</v>
      </c>
      <c r="F241" s="130" t="s">
        <v>252</v>
      </c>
      <c r="G241" s="58">
        <v>5</v>
      </c>
      <c r="H241" s="58">
        <v>5</v>
      </c>
      <c r="I241" s="82">
        <v>76.1</v>
      </c>
      <c r="J241" s="58">
        <v>3</v>
      </c>
      <c r="K241" s="58">
        <v>3</v>
      </c>
      <c r="L241" s="58">
        <v>0</v>
      </c>
      <c r="M241" s="82">
        <v>76.1</v>
      </c>
      <c r="N241" s="59">
        <v>76.1</v>
      </c>
      <c r="O241" s="59">
        <v>0</v>
      </c>
      <c r="P241" s="83">
        <f t="shared" si="99"/>
        <v>2598815</v>
      </c>
      <c r="Q241" s="65">
        <v>1223300.059513688</v>
      </c>
      <c r="R241" s="65">
        <v>1083813.5861248088</v>
      </c>
      <c r="S241" s="65">
        <v>291701.35436150315</v>
      </c>
      <c r="T241" s="65">
        <v>826430</v>
      </c>
    </row>
    <row r="242" spans="1:20" ht="31.5">
      <c r="A242" s="39">
        <f t="shared" si="100"/>
        <v>38</v>
      </c>
      <c r="B242" s="39" t="s">
        <v>290</v>
      </c>
      <c r="C242" s="40">
        <v>9</v>
      </c>
      <c r="D242" s="41">
        <v>38076</v>
      </c>
      <c r="E242" s="130" t="s">
        <v>415</v>
      </c>
      <c r="F242" s="130" t="s">
        <v>252</v>
      </c>
      <c r="G242" s="58">
        <v>13</v>
      </c>
      <c r="H242" s="58">
        <v>13</v>
      </c>
      <c r="I242" s="82">
        <v>156</v>
      </c>
      <c r="J242" s="58">
        <v>5</v>
      </c>
      <c r="K242" s="58">
        <v>3</v>
      </c>
      <c r="L242" s="58">
        <v>2</v>
      </c>
      <c r="M242" s="82">
        <v>156</v>
      </c>
      <c r="N242" s="59">
        <v>78.2</v>
      </c>
      <c r="O242" s="59">
        <v>77.8</v>
      </c>
      <c r="P242" s="83">
        <f t="shared" si="99"/>
        <v>5327400</v>
      </c>
      <c r="Q242" s="65">
        <v>2507684.747491923</v>
      </c>
      <c r="R242" s="65">
        <v>2221746.6417275975</v>
      </c>
      <c r="S242" s="65">
        <v>597968.6107804794</v>
      </c>
      <c r="T242" s="65">
        <v>515665</v>
      </c>
    </row>
    <row r="243" spans="1:20" ht="47.25">
      <c r="A243" s="39">
        <f t="shared" si="100"/>
        <v>39</v>
      </c>
      <c r="B243" s="39" t="s">
        <v>291</v>
      </c>
      <c r="C243" s="40">
        <v>59</v>
      </c>
      <c r="D243" s="41">
        <v>38076</v>
      </c>
      <c r="E243" s="130" t="s">
        <v>415</v>
      </c>
      <c r="F243" s="130" t="s">
        <v>252</v>
      </c>
      <c r="G243" s="58">
        <v>4</v>
      </c>
      <c r="H243" s="58">
        <v>4</v>
      </c>
      <c r="I243" s="82">
        <v>103.8</v>
      </c>
      <c r="J243" s="58">
        <v>2</v>
      </c>
      <c r="K243" s="58">
        <v>1</v>
      </c>
      <c r="L243" s="58">
        <v>1</v>
      </c>
      <c r="M243" s="82">
        <v>103.8</v>
      </c>
      <c r="N243" s="59">
        <v>50.8</v>
      </c>
      <c r="O243" s="59">
        <v>53</v>
      </c>
      <c r="P243" s="83">
        <f t="shared" si="99"/>
        <v>3544770</v>
      </c>
      <c r="Q243" s="65">
        <v>1668574.8512157795</v>
      </c>
      <c r="R243" s="65">
        <v>1478316.0346879782</v>
      </c>
      <c r="S243" s="65">
        <v>397879.11409624224</v>
      </c>
      <c r="T243" s="65">
        <v>0</v>
      </c>
    </row>
    <row r="244" spans="1:20" ht="47.25">
      <c r="A244" s="39">
        <f t="shared" si="100"/>
        <v>40</v>
      </c>
      <c r="B244" s="39" t="s">
        <v>292</v>
      </c>
      <c r="C244" s="40">
        <v>57</v>
      </c>
      <c r="D244" s="41">
        <v>38076</v>
      </c>
      <c r="E244" s="130" t="s">
        <v>415</v>
      </c>
      <c r="F244" s="130" t="s">
        <v>252</v>
      </c>
      <c r="G244" s="58">
        <v>4</v>
      </c>
      <c r="H244" s="58">
        <v>4</v>
      </c>
      <c r="I244" s="73">
        <v>82</v>
      </c>
      <c r="J244" s="58">
        <v>2</v>
      </c>
      <c r="K244" s="58">
        <v>2</v>
      </c>
      <c r="L244" s="58">
        <v>0</v>
      </c>
      <c r="M244" s="73">
        <v>82</v>
      </c>
      <c r="N244" s="59">
        <v>82</v>
      </c>
      <c r="O244" s="59">
        <v>0</v>
      </c>
      <c r="P244" s="83">
        <f t="shared" si="99"/>
        <v>2800300</v>
      </c>
      <c r="Q244" s="65">
        <v>1318141.982656011</v>
      </c>
      <c r="R244" s="65">
        <v>1167841.1834721987</v>
      </c>
      <c r="S244" s="65">
        <v>314316.83387179044</v>
      </c>
      <c r="T244" s="65">
        <v>0</v>
      </c>
    </row>
    <row r="245" spans="1:20" ht="31.5">
      <c r="A245" s="39">
        <f t="shared" si="100"/>
        <v>41</v>
      </c>
      <c r="B245" s="39" t="s">
        <v>293</v>
      </c>
      <c r="C245" s="40">
        <v>37</v>
      </c>
      <c r="D245" s="41">
        <v>38076</v>
      </c>
      <c r="E245" s="130" t="s">
        <v>415</v>
      </c>
      <c r="F245" s="130" t="s">
        <v>252</v>
      </c>
      <c r="G245" s="58">
        <v>8</v>
      </c>
      <c r="H245" s="58">
        <v>8</v>
      </c>
      <c r="I245" s="59">
        <v>162.8</v>
      </c>
      <c r="J245" s="58">
        <v>4</v>
      </c>
      <c r="K245" s="58">
        <v>3</v>
      </c>
      <c r="L245" s="58">
        <v>1</v>
      </c>
      <c r="M245" s="59">
        <v>162.8</v>
      </c>
      <c r="N245" s="59">
        <v>122.3</v>
      </c>
      <c r="O245" s="59">
        <v>40.5</v>
      </c>
      <c r="P245" s="83">
        <f t="shared" si="99"/>
        <v>5559620</v>
      </c>
      <c r="Q245" s="65">
        <v>2616994.0826390074</v>
      </c>
      <c r="R245" s="65">
        <v>2318592.0081618773</v>
      </c>
      <c r="S245" s="65">
        <v>624033.9091991154</v>
      </c>
      <c r="T245" s="65">
        <v>10244.999999999418</v>
      </c>
    </row>
    <row r="246" spans="1:20" ht="31.5">
      <c r="A246" s="39">
        <f t="shared" si="100"/>
        <v>42</v>
      </c>
      <c r="B246" s="39" t="s">
        <v>294</v>
      </c>
      <c r="C246" s="40">
        <v>35</v>
      </c>
      <c r="D246" s="41">
        <v>38076</v>
      </c>
      <c r="E246" s="130" t="s">
        <v>415</v>
      </c>
      <c r="F246" s="130" t="s">
        <v>252</v>
      </c>
      <c r="G246" s="58">
        <v>7</v>
      </c>
      <c r="H246" s="58">
        <v>7</v>
      </c>
      <c r="I246" s="59">
        <v>108.6</v>
      </c>
      <c r="J246" s="58">
        <v>3</v>
      </c>
      <c r="K246" s="58">
        <v>2</v>
      </c>
      <c r="L246" s="58">
        <v>1</v>
      </c>
      <c r="M246" s="59">
        <v>108.6</v>
      </c>
      <c r="N246" s="59">
        <v>69.6</v>
      </c>
      <c r="O246" s="59">
        <v>39</v>
      </c>
      <c r="P246" s="83">
        <f t="shared" si="99"/>
        <v>3708690</v>
      </c>
      <c r="Q246" s="65">
        <v>1745734.3819078386</v>
      </c>
      <c r="R246" s="65">
        <v>1546677.4698180582</v>
      </c>
      <c r="S246" s="65">
        <v>416278.1482741032</v>
      </c>
      <c r="T246" s="65">
        <v>0</v>
      </c>
    </row>
    <row r="247" spans="1:20" ht="31.5">
      <c r="A247" s="39">
        <f t="shared" si="100"/>
        <v>43</v>
      </c>
      <c r="B247" s="39" t="s">
        <v>295</v>
      </c>
      <c r="C247" s="40">
        <v>38</v>
      </c>
      <c r="D247" s="41">
        <v>38076</v>
      </c>
      <c r="E247" s="130" t="s">
        <v>415</v>
      </c>
      <c r="F247" s="130" t="s">
        <v>252</v>
      </c>
      <c r="G247" s="58">
        <v>8</v>
      </c>
      <c r="H247" s="58">
        <v>8</v>
      </c>
      <c r="I247" s="59">
        <v>161.1</v>
      </c>
      <c r="J247" s="58">
        <v>4</v>
      </c>
      <c r="K247" s="58">
        <v>2</v>
      </c>
      <c r="L247" s="58">
        <v>2</v>
      </c>
      <c r="M247" s="59">
        <v>161.1</v>
      </c>
      <c r="N247" s="59">
        <v>80.8</v>
      </c>
      <c r="O247" s="59">
        <v>80.3</v>
      </c>
      <c r="P247" s="83">
        <f t="shared" si="99"/>
        <v>5501565</v>
      </c>
      <c r="Q247" s="65">
        <v>2589666.7488522357</v>
      </c>
      <c r="R247" s="65">
        <v>2294380.6665533073</v>
      </c>
      <c r="S247" s="65">
        <v>617517.584594457</v>
      </c>
      <c r="T247" s="65">
        <v>0</v>
      </c>
    </row>
    <row r="248" spans="1:20" ht="31.5">
      <c r="A248" s="39">
        <f t="shared" si="100"/>
        <v>44</v>
      </c>
      <c r="B248" s="39" t="s">
        <v>296</v>
      </c>
      <c r="C248" s="40">
        <v>39</v>
      </c>
      <c r="D248" s="41">
        <v>38076</v>
      </c>
      <c r="E248" s="130" t="s">
        <v>415</v>
      </c>
      <c r="F248" s="130" t="s">
        <v>252</v>
      </c>
      <c r="G248" s="58">
        <v>12</v>
      </c>
      <c r="H248" s="58">
        <v>12</v>
      </c>
      <c r="I248" s="59">
        <v>154.8</v>
      </c>
      <c r="J248" s="58">
        <v>4</v>
      </c>
      <c r="K248" s="58">
        <v>1</v>
      </c>
      <c r="L248" s="58">
        <v>3</v>
      </c>
      <c r="M248" s="59">
        <v>154.8</v>
      </c>
      <c r="N248" s="59">
        <v>38.4</v>
      </c>
      <c r="O248" s="59">
        <v>116.4</v>
      </c>
      <c r="P248" s="83">
        <f t="shared" si="99"/>
        <v>5286420</v>
      </c>
      <c r="Q248" s="65">
        <v>2488394.8648189087</v>
      </c>
      <c r="R248" s="65">
        <v>2204656.2829450774</v>
      </c>
      <c r="S248" s="65">
        <v>593368.8522360139</v>
      </c>
      <c r="T248" s="65">
        <v>13659.999999999223</v>
      </c>
    </row>
    <row r="249" spans="1:20" ht="15.75">
      <c r="A249" s="154" t="s">
        <v>298</v>
      </c>
      <c r="B249" s="154"/>
      <c r="C249" s="71"/>
      <c r="D249" s="71"/>
      <c r="E249" s="71"/>
      <c r="F249" s="71"/>
      <c r="G249" s="33">
        <f>SUM(G250:G361)</f>
        <v>779</v>
      </c>
      <c r="H249" s="33">
        <f aca="true" t="shared" si="101" ref="H249:T249">SUM(H250:H361)</f>
        <v>779</v>
      </c>
      <c r="I249" s="85">
        <f t="shared" si="101"/>
        <v>12511.199999999993</v>
      </c>
      <c r="J249" s="33">
        <f t="shared" si="101"/>
        <v>377</v>
      </c>
      <c r="K249" s="33">
        <f t="shared" si="101"/>
        <v>247</v>
      </c>
      <c r="L249" s="33">
        <f t="shared" si="101"/>
        <v>130</v>
      </c>
      <c r="M249" s="85">
        <f t="shared" si="101"/>
        <v>12511.199999999993</v>
      </c>
      <c r="N249" s="85">
        <f t="shared" si="101"/>
        <v>7910</v>
      </c>
      <c r="O249" s="85">
        <f t="shared" si="101"/>
        <v>4601.199999999998</v>
      </c>
      <c r="P249" s="84">
        <f>SUM(P250:P361)</f>
        <v>427257480</v>
      </c>
      <c r="Q249" s="33">
        <f>SUM(Q250:Q361)</f>
        <v>203605700</v>
      </c>
      <c r="R249" s="33">
        <f>SUM(R250:R361)</f>
        <v>180389100.00000006</v>
      </c>
      <c r="S249" s="33">
        <f>SUM(S250:S361)</f>
        <v>43262679.999999985</v>
      </c>
      <c r="T249" s="84">
        <f t="shared" si="101"/>
        <v>0</v>
      </c>
    </row>
    <row r="250" spans="1:20" ht="31.5">
      <c r="A250" s="118">
        <v>45</v>
      </c>
      <c r="B250" s="57" t="s">
        <v>301</v>
      </c>
      <c r="C250" s="71">
        <v>143</v>
      </c>
      <c r="D250" s="130">
        <v>38188</v>
      </c>
      <c r="E250" s="71" t="s">
        <v>299</v>
      </c>
      <c r="F250" s="71" t="s">
        <v>300</v>
      </c>
      <c r="G250" s="33">
        <v>4</v>
      </c>
      <c r="H250" s="33">
        <v>4</v>
      </c>
      <c r="I250" s="85">
        <v>105.5</v>
      </c>
      <c r="J250" s="33">
        <v>4</v>
      </c>
      <c r="K250" s="135">
        <v>2</v>
      </c>
      <c r="L250" s="135">
        <v>2</v>
      </c>
      <c r="M250" s="85">
        <v>105.5</v>
      </c>
      <c r="N250" s="85">
        <v>41.8</v>
      </c>
      <c r="O250" s="85">
        <v>63.7</v>
      </c>
      <c r="P250" s="65">
        <f>M250*34150</f>
        <v>3602825</v>
      </c>
      <c r="Q250" s="84">
        <f>(203605700/12511.2*M250)</f>
        <v>1716893.7711810216</v>
      </c>
      <c r="R250" s="84">
        <f>(180389100/12511.2*M250)</f>
        <v>1521121.0795127566</v>
      </c>
      <c r="S250" s="84">
        <f>(43262680/12511.2*M250)</f>
        <v>364810.14930622163</v>
      </c>
      <c r="T250" s="84">
        <v>0</v>
      </c>
    </row>
    <row r="251" spans="1:20" ht="31.5">
      <c r="A251" s="118">
        <f>A250+1</f>
        <v>46</v>
      </c>
      <c r="B251" s="57" t="s">
        <v>310</v>
      </c>
      <c r="C251" s="71">
        <v>44</v>
      </c>
      <c r="D251" s="130">
        <v>38188</v>
      </c>
      <c r="E251" s="71" t="s">
        <v>299</v>
      </c>
      <c r="F251" s="71" t="s">
        <v>300</v>
      </c>
      <c r="G251" s="33">
        <v>4</v>
      </c>
      <c r="H251" s="33">
        <v>4</v>
      </c>
      <c r="I251" s="85">
        <v>85.6</v>
      </c>
      <c r="J251" s="33">
        <v>4</v>
      </c>
      <c r="K251" s="135">
        <v>3</v>
      </c>
      <c r="L251" s="135">
        <v>1</v>
      </c>
      <c r="M251" s="85">
        <v>85.6</v>
      </c>
      <c r="N251" s="85">
        <v>42.8</v>
      </c>
      <c r="O251" s="85">
        <v>42.8</v>
      </c>
      <c r="P251" s="65">
        <f aca="true" t="shared" si="102" ref="P251:P314">M251*34150</f>
        <v>2923240</v>
      </c>
      <c r="Q251" s="84">
        <f aca="true" t="shared" si="103" ref="Q251:Q314">(203605700/12511.2*M251)</f>
        <v>1393043.6664748383</v>
      </c>
      <c r="R251" s="84">
        <f aca="true" t="shared" si="104" ref="R251:R314">(180389100/12511.2*M251)</f>
        <v>1234198.7147515826</v>
      </c>
      <c r="S251" s="84">
        <f aca="true" t="shared" si="105" ref="S251:S314">(43262680/12511.2*M251)</f>
        <v>295997.61877357884</v>
      </c>
      <c r="T251" s="65">
        <v>0</v>
      </c>
    </row>
    <row r="252" spans="1:20" ht="31.5">
      <c r="A252" s="118">
        <f aca="true" t="shared" si="106" ref="A252:A315">A251+1</f>
        <v>47</v>
      </c>
      <c r="B252" s="57" t="s">
        <v>311</v>
      </c>
      <c r="C252" s="71">
        <v>146</v>
      </c>
      <c r="D252" s="130">
        <v>38188</v>
      </c>
      <c r="E252" s="71" t="s">
        <v>299</v>
      </c>
      <c r="F252" s="71" t="s">
        <v>300</v>
      </c>
      <c r="G252" s="33">
        <v>6</v>
      </c>
      <c r="H252" s="33">
        <v>6</v>
      </c>
      <c r="I252" s="85">
        <v>89.2</v>
      </c>
      <c r="J252" s="33">
        <v>2</v>
      </c>
      <c r="K252" s="135">
        <v>1</v>
      </c>
      <c r="L252" s="135">
        <v>1</v>
      </c>
      <c r="M252" s="85">
        <v>89.2</v>
      </c>
      <c r="N252" s="85">
        <v>44.6</v>
      </c>
      <c r="O252" s="85">
        <v>44.6</v>
      </c>
      <c r="P252" s="65">
        <f t="shared" si="102"/>
        <v>3046180</v>
      </c>
      <c r="Q252" s="84">
        <f t="shared" si="103"/>
        <v>1451629.6150649018</v>
      </c>
      <c r="R252" s="84">
        <f t="shared" si="104"/>
        <v>1286104.2681757146</v>
      </c>
      <c r="S252" s="84">
        <f t="shared" si="105"/>
        <v>308446.1167593836</v>
      </c>
      <c r="T252" s="65">
        <v>0</v>
      </c>
    </row>
    <row r="253" spans="1:20" ht="31.5">
      <c r="A253" s="118">
        <f t="shared" si="106"/>
        <v>48</v>
      </c>
      <c r="B253" s="57" t="s">
        <v>312</v>
      </c>
      <c r="C253" s="71">
        <v>148</v>
      </c>
      <c r="D253" s="130">
        <v>38188</v>
      </c>
      <c r="E253" s="71" t="s">
        <v>299</v>
      </c>
      <c r="F253" s="71" t="s">
        <v>300</v>
      </c>
      <c r="G253" s="33">
        <v>6</v>
      </c>
      <c r="H253" s="33">
        <v>6</v>
      </c>
      <c r="I253" s="85">
        <v>85.6</v>
      </c>
      <c r="J253" s="33">
        <v>2</v>
      </c>
      <c r="K253" s="84">
        <v>0</v>
      </c>
      <c r="L253" s="135">
        <v>2</v>
      </c>
      <c r="M253" s="85">
        <v>85.6</v>
      </c>
      <c r="N253" s="85">
        <v>0</v>
      </c>
      <c r="O253" s="85">
        <v>85.6</v>
      </c>
      <c r="P253" s="65">
        <f t="shared" si="102"/>
        <v>2923240</v>
      </c>
      <c r="Q253" s="84">
        <f t="shared" si="103"/>
        <v>1393043.6664748383</v>
      </c>
      <c r="R253" s="84">
        <f t="shared" si="104"/>
        <v>1234198.7147515826</v>
      </c>
      <c r="S253" s="84">
        <f t="shared" si="105"/>
        <v>295997.61877357884</v>
      </c>
      <c r="T253" s="65">
        <v>0</v>
      </c>
    </row>
    <row r="254" spans="1:20" ht="31.5">
      <c r="A254" s="118">
        <f t="shared" si="106"/>
        <v>49</v>
      </c>
      <c r="B254" s="57" t="s">
        <v>313</v>
      </c>
      <c r="C254" s="71">
        <v>149</v>
      </c>
      <c r="D254" s="130">
        <v>38188</v>
      </c>
      <c r="E254" s="71" t="s">
        <v>299</v>
      </c>
      <c r="F254" s="71" t="s">
        <v>300</v>
      </c>
      <c r="G254" s="33">
        <v>7</v>
      </c>
      <c r="H254" s="33">
        <v>7</v>
      </c>
      <c r="I254" s="85">
        <v>112.7</v>
      </c>
      <c r="J254" s="33">
        <v>4</v>
      </c>
      <c r="K254" s="135">
        <v>2</v>
      </c>
      <c r="L254" s="135">
        <v>2</v>
      </c>
      <c r="M254" s="85">
        <v>112.7</v>
      </c>
      <c r="N254" s="85">
        <v>53.6</v>
      </c>
      <c r="O254" s="85">
        <v>59.1</v>
      </c>
      <c r="P254" s="65">
        <f t="shared" si="102"/>
        <v>3848705</v>
      </c>
      <c r="Q254" s="84">
        <f t="shared" si="103"/>
        <v>1834065.6683611483</v>
      </c>
      <c r="R254" s="84">
        <f t="shared" si="104"/>
        <v>1624932.1863610207</v>
      </c>
      <c r="S254" s="84">
        <f t="shared" si="105"/>
        <v>389707.14527783106</v>
      </c>
      <c r="T254" s="65">
        <v>0</v>
      </c>
    </row>
    <row r="255" spans="1:20" ht="31.5">
      <c r="A255" s="118">
        <f t="shared" si="106"/>
        <v>50</v>
      </c>
      <c r="B255" s="57" t="s">
        <v>314</v>
      </c>
      <c r="C255" s="71">
        <v>131</v>
      </c>
      <c r="D255" s="130">
        <v>38188</v>
      </c>
      <c r="E255" s="71" t="s">
        <v>299</v>
      </c>
      <c r="F255" s="71" t="s">
        <v>300</v>
      </c>
      <c r="G255" s="33">
        <v>3</v>
      </c>
      <c r="H255" s="33">
        <v>3</v>
      </c>
      <c r="I255" s="85">
        <v>75.8</v>
      </c>
      <c r="J255" s="33">
        <v>2</v>
      </c>
      <c r="K255" s="135">
        <v>2</v>
      </c>
      <c r="L255" s="84">
        <v>0</v>
      </c>
      <c r="M255" s="85">
        <v>75.8</v>
      </c>
      <c r="N255" s="85">
        <v>75.8</v>
      </c>
      <c r="O255" s="85">
        <v>0</v>
      </c>
      <c r="P255" s="65">
        <f t="shared" si="102"/>
        <v>2588570</v>
      </c>
      <c r="Q255" s="84">
        <f t="shared" si="103"/>
        <v>1233559.6953129994</v>
      </c>
      <c r="R255" s="84">
        <f t="shared" si="104"/>
        <v>1092900.2637636678</v>
      </c>
      <c r="S255" s="84">
        <f t="shared" si="105"/>
        <v>262110.04092333268</v>
      </c>
      <c r="T255" s="65">
        <v>0</v>
      </c>
    </row>
    <row r="256" spans="1:20" ht="31.5">
      <c r="A256" s="118">
        <f t="shared" si="106"/>
        <v>51</v>
      </c>
      <c r="B256" s="57" t="s">
        <v>315</v>
      </c>
      <c r="C256" s="71">
        <v>132</v>
      </c>
      <c r="D256" s="130">
        <v>38188</v>
      </c>
      <c r="E256" s="71" t="s">
        <v>299</v>
      </c>
      <c r="F256" s="71" t="s">
        <v>300</v>
      </c>
      <c r="G256" s="33">
        <v>5</v>
      </c>
      <c r="H256" s="33">
        <v>5</v>
      </c>
      <c r="I256" s="85">
        <v>88</v>
      </c>
      <c r="J256" s="33">
        <v>2</v>
      </c>
      <c r="K256" s="135">
        <v>2</v>
      </c>
      <c r="L256" s="84">
        <v>0</v>
      </c>
      <c r="M256" s="85">
        <v>88</v>
      </c>
      <c r="N256" s="85">
        <v>88</v>
      </c>
      <c r="O256" s="85">
        <v>0</v>
      </c>
      <c r="P256" s="65">
        <f t="shared" si="102"/>
        <v>3005200</v>
      </c>
      <c r="Q256" s="84">
        <f t="shared" si="103"/>
        <v>1432100.9655348805</v>
      </c>
      <c r="R256" s="84">
        <f t="shared" si="104"/>
        <v>1268802.4170343373</v>
      </c>
      <c r="S256" s="84">
        <f t="shared" si="105"/>
        <v>304296.617430782</v>
      </c>
      <c r="T256" s="65">
        <v>0</v>
      </c>
    </row>
    <row r="257" spans="1:20" ht="31.5">
      <c r="A257" s="118">
        <f t="shared" si="106"/>
        <v>52</v>
      </c>
      <c r="B257" s="57" t="s">
        <v>316</v>
      </c>
      <c r="C257" s="71">
        <v>134</v>
      </c>
      <c r="D257" s="130">
        <v>38188</v>
      </c>
      <c r="E257" s="71" t="s">
        <v>299</v>
      </c>
      <c r="F257" s="71" t="s">
        <v>300</v>
      </c>
      <c r="G257" s="33">
        <v>7</v>
      </c>
      <c r="H257" s="33">
        <v>7</v>
      </c>
      <c r="I257" s="85">
        <v>82.7</v>
      </c>
      <c r="J257" s="33">
        <v>4</v>
      </c>
      <c r="K257" s="135">
        <v>3</v>
      </c>
      <c r="L257" s="135">
        <v>1</v>
      </c>
      <c r="M257" s="85">
        <v>82.7</v>
      </c>
      <c r="N257" s="85">
        <v>62.2</v>
      </c>
      <c r="O257" s="85">
        <v>20.5</v>
      </c>
      <c r="P257" s="65">
        <f t="shared" si="102"/>
        <v>2824205</v>
      </c>
      <c r="Q257" s="84">
        <f t="shared" si="103"/>
        <v>1345849.4301106208</v>
      </c>
      <c r="R257" s="84">
        <f t="shared" si="104"/>
        <v>1192385.9078265873</v>
      </c>
      <c r="S257" s="84">
        <f t="shared" si="105"/>
        <v>285969.66206279176</v>
      </c>
      <c r="T257" s="65">
        <v>0</v>
      </c>
    </row>
    <row r="258" spans="1:20" ht="31.5">
      <c r="A258" s="118">
        <f t="shared" si="106"/>
        <v>53</v>
      </c>
      <c r="B258" s="57" t="s">
        <v>317</v>
      </c>
      <c r="C258" s="71">
        <v>135</v>
      </c>
      <c r="D258" s="130">
        <v>38188</v>
      </c>
      <c r="E258" s="71" t="s">
        <v>299</v>
      </c>
      <c r="F258" s="71" t="s">
        <v>300</v>
      </c>
      <c r="G258" s="33">
        <v>5</v>
      </c>
      <c r="H258" s="33">
        <v>5</v>
      </c>
      <c r="I258" s="85">
        <v>68</v>
      </c>
      <c r="J258" s="33">
        <v>2</v>
      </c>
      <c r="K258" s="135">
        <v>1</v>
      </c>
      <c r="L258" s="135">
        <v>1</v>
      </c>
      <c r="M258" s="85">
        <v>68</v>
      </c>
      <c r="N258" s="85">
        <v>29.9</v>
      </c>
      <c r="O258" s="85">
        <v>38.1</v>
      </c>
      <c r="P258" s="65">
        <f t="shared" si="102"/>
        <v>2322200</v>
      </c>
      <c r="Q258" s="84">
        <f t="shared" si="103"/>
        <v>1106623.4733678622</v>
      </c>
      <c r="R258" s="84">
        <f t="shared" si="104"/>
        <v>980438.2313447151</v>
      </c>
      <c r="S258" s="84">
        <f t="shared" si="105"/>
        <v>235138.29528742246</v>
      </c>
      <c r="T258" s="65">
        <v>0</v>
      </c>
    </row>
    <row r="259" spans="1:20" ht="31.5">
      <c r="A259" s="118">
        <f t="shared" si="106"/>
        <v>54</v>
      </c>
      <c r="B259" s="57" t="s">
        <v>318</v>
      </c>
      <c r="C259" s="71">
        <v>136</v>
      </c>
      <c r="D259" s="130">
        <v>38188</v>
      </c>
      <c r="E259" s="71" t="s">
        <v>299</v>
      </c>
      <c r="F259" s="71" t="s">
        <v>300</v>
      </c>
      <c r="G259" s="33">
        <v>7</v>
      </c>
      <c r="H259" s="33">
        <v>7</v>
      </c>
      <c r="I259" s="85">
        <v>150.1</v>
      </c>
      <c r="J259" s="33">
        <v>6</v>
      </c>
      <c r="K259" s="135">
        <v>2</v>
      </c>
      <c r="L259" s="135">
        <v>4</v>
      </c>
      <c r="M259" s="85">
        <v>150.1</v>
      </c>
      <c r="N259" s="85">
        <v>50.3</v>
      </c>
      <c r="O259" s="85">
        <v>99.8</v>
      </c>
      <c r="P259" s="65">
        <f t="shared" si="102"/>
        <v>5125915</v>
      </c>
      <c r="Q259" s="84">
        <f t="shared" si="103"/>
        <v>2442708.5787134725</v>
      </c>
      <c r="R259" s="84">
        <f t="shared" si="104"/>
        <v>2164173.2136006136</v>
      </c>
      <c r="S259" s="84">
        <f t="shared" si="105"/>
        <v>519033.20768591337</v>
      </c>
      <c r="T259" s="65">
        <v>0</v>
      </c>
    </row>
    <row r="260" spans="1:20" ht="31.5">
      <c r="A260" s="118">
        <f t="shared" si="106"/>
        <v>55</v>
      </c>
      <c r="B260" s="57" t="s">
        <v>319</v>
      </c>
      <c r="C260" s="71">
        <v>137</v>
      </c>
      <c r="D260" s="130">
        <v>38188</v>
      </c>
      <c r="E260" s="71" t="s">
        <v>299</v>
      </c>
      <c r="F260" s="71" t="s">
        <v>300</v>
      </c>
      <c r="G260" s="33">
        <v>6</v>
      </c>
      <c r="H260" s="33">
        <v>6</v>
      </c>
      <c r="I260" s="85">
        <v>87.2</v>
      </c>
      <c r="J260" s="33">
        <v>2</v>
      </c>
      <c r="K260" s="135">
        <v>1</v>
      </c>
      <c r="L260" s="135">
        <v>1</v>
      </c>
      <c r="M260" s="85">
        <v>87.2</v>
      </c>
      <c r="N260" s="85">
        <v>43.9</v>
      </c>
      <c r="O260" s="85">
        <v>43.3</v>
      </c>
      <c r="P260" s="65">
        <f t="shared" si="102"/>
        <v>2977880</v>
      </c>
      <c r="Q260" s="84">
        <f t="shared" si="103"/>
        <v>1419081.8658482</v>
      </c>
      <c r="R260" s="84">
        <f t="shared" si="104"/>
        <v>1257267.8496067524</v>
      </c>
      <c r="S260" s="84">
        <f t="shared" si="105"/>
        <v>301530.2845450476</v>
      </c>
      <c r="T260" s="65">
        <v>0</v>
      </c>
    </row>
    <row r="261" spans="1:20" ht="31.5">
      <c r="A261" s="118">
        <f t="shared" si="106"/>
        <v>56</v>
      </c>
      <c r="B261" s="57" t="s">
        <v>320</v>
      </c>
      <c r="C261" s="71">
        <v>138</v>
      </c>
      <c r="D261" s="130">
        <v>38188</v>
      </c>
      <c r="E261" s="71" t="s">
        <v>299</v>
      </c>
      <c r="F261" s="71" t="s">
        <v>300</v>
      </c>
      <c r="G261" s="33">
        <v>6</v>
      </c>
      <c r="H261" s="33">
        <v>6</v>
      </c>
      <c r="I261" s="85">
        <v>207.1</v>
      </c>
      <c r="J261" s="33">
        <v>6</v>
      </c>
      <c r="K261" s="135">
        <v>4</v>
      </c>
      <c r="L261" s="135">
        <v>2</v>
      </c>
      <c r="M261" s="85">
        <v>207.1</v>
      </c>
      <c r="N261" s="85">
        <v>138.6</v>
      </c>
      <c r="O261" s="85">
        <v>68.5</v>
      </c>
      <c r="P261" s="65">
        <f t="shared" si="102"/>
        <v>7072465</v>
      </c>
      <c r="Q261" s="84">
        <f t="shared" si="103"/>
        <v>3370319.431389475</v>
      </c>
      <c r="R261" s="84">
        <f t="shared" si="104"/>
        <v>2986011.142816037</v>
      </c>
      <c r="S261" s="84">
        <f t="shared" si="105"/>
        <v>716134.425794488</v>
      </c>
      <c r="T261" s="65">
        <v>0</v>
      </c>
    </row>
    <row r="262" spans="1:20" ht="31.5">
      <c r="A262" s="118">
        <f t="shared" si="106"/>
        <v>57</v>
      </c>
      <c r="B262" s="57" t="s">
        <v>321</v>
      </c>
      <c r="C262" s="71">
        <v>139</v>
      </c>
      <c r="D262" s="130">
        <v>38188</v>
      </c>
      <c r="E262" s="71" t="s">
        <v>299</v>
      </c>
      <c r="F262" s="71" t="s">
        <v>300</v>
      </c>
      <c r="G262" s="33">
        <v>7</v>
      </c>
      <c r="H262" s="33">
        <v>7</v>
      </c>
      <c r="I262" s="85">
        <v>213.3</v>
      </c>
      <c r="J262" s="33">
        <v>6</v>
      </c>
      <c r="K262" s="135">
        <v>6</v>
      </c>
      <c r="L262" s="84">
        <v>0</v>
      </c>
      <c r="M262" s="85">
        <v>213.3</v>
      </c>
      <c r="N262" s="85">
        <v>213.3</v>
      </c>
      <c r="O262" s="85">
        <v>0</v>
      </c>
      <c r="P262" s="65">
        <f t="shared" si="102"/>
        <v>7284195</v>
      </c>
      <c r="Q262" s="84">
        <f t="shared" si="103"/>
        <v>3471217.4539612504</v>
      </c>
      <c r="R262" s="84">
        <f t="shared" si="104"/>
        <v>3075404.04037982</v>
      </c>
      <c r="S262" s="84">
        <f t="shared" si="105"/>
        <v>737573.5056589296</v>
      </c>
      <c r="T262" s="65">
        <v>0</v>
      </c>
    </row>
    <row r="263" spans="1:20" ht="31.5">
      <c r="A263" s="118">
        <f t="shared" si="106"/>
        <v>58</v>
      </c>
      <c r="B263" s="57" t="s">
        <v>322</v>
      </c>
      <c r="C263" s="71">
        <v>140</v>
      </c>
      <c r="D263" s="130">
        <v>38188</v>
      </c>
      <c r="E263" s="71" t="s">
        <v>299</v>
      </c>
      <c r="F263" s="71" t="s">
        <v>300</v>
      </c>
      <c r="G263" s="33">
        <v>6</v>
      </c>
      <c r="H263" s="33">
        <v>6</v>
      </c>
      <c r="I263" s="85">
        <v>211.2</v>
      </c>
      <c r="J263" s="33">
        <v>6</v>
      </c>
      <c r="K263" s="135">
        <v>5</v>
      </c>
      <c r="L263" s="135">
        <v>1</v>
      </c>
      <c r="M263" s="85">
        <v>211.2</v>
      </c>
      <c r="N263" s="85">
        <v>176.7</v>
      </c>
      <c r="O263" s="85">
        <v>34.5</v>
      </c>
      <c r="P263" s="65">
        <f t="shared" si="102"/>
        <v>7212480</v>
      </c>
      <c r="Q263" s="84">
        <f t="shared" si="103"/>
        <v>3437042.3172837133</v>
      </c>
      <c r="R263" s="84">
        <f t="shared" si="104"/>
        <v>3045125.8008824093</v>
      </c>
      <c r="S263" s="84">
        <f t="shared" si="105"/>
        <v>730311.8818338767</v>
      </c>
      <c r="T263" s="65">
        <v>0</v>
      </c>
    </row>
    <row r="264" spans="1:20" ht="31.5">
      <c r="A264" s="118">
        <f t="shared" si="106"/>
        <v>59</v>
      </c>
      <c r="B264" s="57" t="s">
        <v>323</v>
      </c>
      <c r="C264" s="71">
        <v>141</v>
      </c>
      <c r="D264" s="130">
        <v>38188</v>
      </c>
      <c r="E264" s="71" t="s">
        <v>299</v>
      </c>
      <c r="F264" s="71" t="s">
        <v>300</v>
      </c>
      <c r="G264" s="33">
        <v>5</v>
      </c>
      <c r="H264" s="33">
        <v>5</v>
      </c>
      <c r="I264" s="85">
        <v>81.7</v>
      </c>
      <c r="J264" s="33">
        <v>4</v>
      </c>
      <c r="K264" s="135">
        <v>3</v>
      </c>
      <c r="L264" s="135">
        <v>1</v>
      </c>
      <c r="M264" s="85">
        <v>81.7</v>
      </c>
      <c r="N264" s="85">
        <v>41.6</v>
      </c>
      <c r="O264" s="85">
        <v>40.1</v>
      </c>
      <c r="P264" s="65">
        <f t="shared" si="102"/>
        <v>2790055</v>
      </c>
      <c r="Q264" s="84">
        <f t="shared" si="103"/>
        <v>1329575.5555022699</v>
      </c>
      <c r="R264" s="84">
        <f t="shared" si="104"/>
        <v>1177967.6985421064</v>
      </c>
      <c r="S264" s="84">
        <f t="shared" si="105"/>
        <v>282511.74595562374</v>
      </c>
      <c r="T264" s="65">
        <v>0</v>
      </c>
    </row>
    <row r="265" spans="1:20" ht="31.5">
      <c r="A265" s="118">
        <f t="shared" si="106"/>
        <v>60</v>
      </c>
      <c r="B265" s="57" t="s">
        <v>324</v>
      </c>
      <c r="C265" s="71">
        <v>142</v>
      </c>
      <c r="D265" s="130">
        <v>38188</v>
      </c>
      <c r="E265" s="71" t="s">
        <v>299</v>
      </c>
      <c r="F265" s="71" t="s">
        <v>300</v>
      </c>
      <c r="G265" s="33">
        <v>4</v>
      </c>
      <c r="H265" s="33">
        <v>4</v>
      </c>
      <c r="I265" s="85">
        <v>62.3</v>
      </c>
      <c r="J265" s="33">
        <v>4</v>
      </c>
      <c r="K265" s="135">
        <v>3</v>
      </c>
      <c r="L265" s="135">
        <v>1</v>
      </c>
      <c r="M265" s="85">
        <v>62.3</v>
      </c>
      <c r="N265" s="85">
        <v>41</v>
      </c>
      <c r="O265" s="85">
        <v>21.3</v>
      </c>
      <c r="P265" s="65">
        <f t="shared" si="102"/>
        <v>2127545</v>
      </c>
      <c r="Q265" s="84">
        <f t="shared" si="103"/>
        <v>1013862.388100262</v>
      </c>
      <c r="R265" s="84">
        <f t="shared" si="104"/>
        <v>898254.4384231728</v>
      </c>
      <c r="S265" s="84">
        <f t="shared" si="105"/>
        <v>215428.173476565</v>
      </c>
      <c r="T265" s="65">
        <v>0</v>
      </c>
    </row>
    <row r="266" spans="1:20" ht="31.5">
      <c r="A266" s="118">
        <f t="shared" si="106"/>
        <v>61</v>
      </c>
      <c r="B266" s="57" t="s">
        <v>325</v>
      </c>
      <c r="C266" s="71">
        <v>152</v>
      </c>
      <c r="D266" s="130">
        <v>38188</v>
      </c>
      <c r="E266" s="71" t="s">
        <v>299</v>
      </c>
      <c r="F266" s="71" t="s">
        <v>300</v>
      </c>
      <c r="G266" s="33">
        <v>18</v>
      </c>
      <c r="H266" s="33">
        <v>18</v>
      </c>
      <c r="I266" s="85">
        <v>164.4</v>
      </c>
      <c r="J266" s="33">
        <v>5</v>
      </c>
      <c r="K266" s="135">
        <v>4</v>
      </c>
      <c r="L266" s="135">
        <v>1</v>
      </c>
      <c r="M266" s="85">
        <v>164.4</v>
      </c>
      <c r="N266" s="85">
        <v>139</v>
      </c>
      <c r="O266" s="85">
        <v>25.4</v>
      </c>
      <c r="P266" s="65">
        <f t="shared" si="102"/>
        <v>5614260</v>
      </c>
      <c r="Q266" s="84">
        <f t="shared" si="103"/>
        <v>2675424.9856128907</v>
      </c>
      <c r="R266" s="84">
        <f t="shared" si="104"/>
        <v>2370353.6063686935</v>
      </c>
      <c r="S266" s="84">
        <f t="shared" si="105"/>
        <v>568481.4080184154</v>
      </c>
      <c r="T266" s="65">
        <v>0</v>
      </c>
    </row>
    <row r="267" spans="1:20" ht="31.5">
      <c r="A267" s="118">
        <f t="shared" si="106"/>
        <v>62</v>
      </c>
      <c r="B267" s="57" t="s">
        <v>326</v>
      </c>
      <c r="C267" s="71">
        <v>153</v>
      </c>
      <c r="D267" s="130">
        <v>38188</v>
      </c>
      <c r="E267" s="71" t="s">
        <v>299</v>
      </c>
      <c r="F267" s="71" t="s">
        <v>300</v>
      </c>
      <c r="G267" s="33">
        <v>5</v>
      </c>
      <c r="H267" s="33">
        <v>5</v>
      </c>
      <c r="I267" s="85">
        <v>118.7</v>
      </c>
      <c r="J267" s="33">
        <v>4</v>
      </c>
      <c r="K267" s="135">
        <v>4</v>
      </c>
      <c r="L267" s="84">
        <v>0</v>
      </c>
      <c r="M267" s="85">
        <v>118.7</v>
      </c>
      <c r="N267" s="85">
        <v>118.7</v>
      </c>
      <c r="O267" s="85">
        <v>0</v>
      </c>
      <c r="P267" s="65">
        <f t="shared" si="102"/>
        <v>4053605</v>
      </c>
      <c r="Q267" s="84">
        <f t="shared" si="103"/>
        <v>1931708.9160112538</v>
      </c>
      <c r="R267" s="84">
        <f t="shared" si="104"/>
        <v>1711441.4420679072</v>
      </c>
      <c r="S267" s="84">
        <f t="shared" si="105"/>
        <v>410454.6419208389</v>
      </c>
      <c r="T267" s="65">
        <v>0</v>
      </c>
    </row>
    <row r="268" spans="1:20" ht="31.5">
      <c r="A268" s="118">
        <f t="shared" si="106"/>
        <v>63</v>
      </c>
      <c r="B268" s="57" t="s">
        <v>327</v>
      </c>
      <c r="C268" s="71">
        <v>154</v>
      </c>
      <c r="D268" s="130">
        <v>38188</v>
      </c>
      <c r="E268" s="71" t="s">
        <v>299</v>
      </c>
      <c r="F268" s="71" t="s">
        <v>300</v>
      </c>
      <c r="G268" s="33">
        <v>3</v>
      </c>
      <c r="H268" s="33">
        <v>3</v>
      </c>
      <c r="I268" s="85">
        <v>91.4</v>
      </c>
      <c r="J268" s="33">
        <v>3</v>
      </c>
      <c r="K268" s="135">
        <v>3</v>
      </c>
      <c r="L268" s="84">
        <v>0</v>
      </c>
      <c r="M268" s="85">
        <v>91.4</v>
      </c>
      <c r="N268" s="85">
        <v>91.4</v>
      </c>
      <c r="O268" s="85">
        <v>0</v>
      </c>
      <c r="P268" s="65">
        <f t="shared" si="102"/>
        <v>3121310</v>
      </c>
      <c r="Q268" s="84">
        <f t="shared" si="103"/>
        <v>1487432.1392032737</v>
      </c>
      <c r="R268" s="84">
        <f t="shared" si="104"/>
        <v>1317824.3286015731</v>
      </c>
      <c r="S268" s="84">
        <f t="shared" si="105"/>
        <v>316053.5321951531</v>
      </c>
      <c r="T268" s="65">
        <v>0</v>
      </c>
    </row>
    <row r="269" spans="1:20" ht="31.5">
      <c r="A269" s="118">
        <f t="shared" si="106"/>
        <v>64</v>
      </c>
      <c r="B269" s="57" t="s">
        <v>328</v>
      </c>
      <c r="C269" s="71">
        <v>155</v>
      </c>
      <c r="D269" s="130">
        <v>38188</v>
      </c>
      <c r="E269" s="71" t="s">
        <v>299</v>
      </c>
      <c r="F269" s="71" t="s">
        <v>300</v>
      </c>
      <c r="G269" s="33">
        <v>20</v>
      </c>
      <c r="H269" s="33">
        <v>20</v>
      </c>
      <c r="I269" s="85">
        <v>208.9</v>
      </c>
      <c r="J269" s="33">
        <v>6</v>
      </c>
      <c r="K269" s="135">
        <v>2</v>
      </c>
      <c r="L269" s="135">
        <v>4</v>
      </c>
      <c r="M269" s="85">
        <v>208.9</v>
      </c>
      <c r="N269" s="85">
        <v>77</v>
      </c>
      <c r="O269" s="85">
        <v>131.9</v>
      </c>
      <c r="P269" s="65">
        <f t="shared" si="102"/>
        <v>7133935</v>
      </c>
      <c r="Q269" s="84">
        <f t="shared" si="103"/>
        <v>3399612.4056845065</v>
      </c>
      <c r="R269" s="84">
        <f t="shared" si="104"/>
        <v>3011963.919528103</v>
      </c>
      <c r="S269" s="84">
        <f t="shared" si="105"/>
        <v>722358.6747873905</v>
      </c>
      <c r="T269" s="65">
        <v>0</v>
      </c>
    </row>
    <row r="270" spans="1:20" ht="31.5">
      <c r="A270" s="118">
        <f t="shared" si="106"/>
        <v>65</v>
      </c>
      <c r="B270" s="57" t="s">
        <v>329</v>
      </c>
      <c r="C270" s="71">
        <v>156</v>
      </c>
      <c r="D270" s="130">
        <v>38217</v>
      </c>
      <c r="E270" s="71" t="s">
        <v>299</v>
      </c>
      <c r="F270" s="71" t="s">
        <v>300</v>
      </c>
      <c r="G270" s="33">
        <v>13</v>
      </c>
      <c r="H270" s="33">
        <v>13</v>
      </c>
      <c r="I270" s="85">
        <v>147.9</v>
      </c>
      <c r="J270" s="33">
        <v>4</v>
      </c>
      <c r="K270" s="135">
        <v>2</v>
      </c>
      <c r="L270" s="135">
        <v>2</v>
      </c>
      <c r="M270" s="85">
        <v>147.9</v>
      </c>
      <c r="N270" s="85">
        <v>71.3</v>
      </c>
      <c r="O270" s="85">
        <v>76.6</v>
      </c>
      <c r="P270" s="65">
        <f t="shared" si="102"/>
        <v>5050785</v>
      </c>
      <c r="Q270" s="84">
        <f t="shared" si="103"/>
        <v>2406906.0545751005</v>
      </c>
      <c r="R270" s="84">
        <f t="shared" si="104"/>
        <v>2132453.1531747556</v>
      </c>
      <c r="S270" s="84">
        <f t="shared" si="105"/>
        <v>511425.7922501439</v>
      </c>
      <c r="T270" s="65">
        <v>0</v>
      </c>
    </row>
    <row r="271" spans="1:20" ht="31.5">
      <c r="A271" s="118">
        <f t="shared" si="106"/>
        <v>66</v>
      </c>
      <c r="B271" s="57" t="s">
        <v>330</v>
      </c>
      <c r="C271" s="71">
        <v>70</v>
      </c>
      <c r="D271" s="130">
        <v>38125</v>
      </c>
      <c r="E271" s="71" t="s">
        <v>299</v>
      </c>
      <c r="F271" s="71" t="s">
        <v>300</v>
      </c>
      <c r="G271" s="33">
        <v>5</v>
      </c>
      <c r="H271" s="33">
        <v>5</v>
      </c>
      <c r="I271" s="85">
        <v>127.8</v>
      </c>
      <c r="J271" s="33">
        <v>2</v>
      </c>
      <c r="K271" s="84">
        <v>0</v>
      </c>
      <c r="L271" s="135">
        <v>2</v>
      </c>
      <c r="M271" s="85">
        <v>127.8</v>
      </c>
      <c r="N271" s="85">
        <v>0</v>
      </c>
      <c r="O271" s="85">
        <v>127.8</v>
      </c>
      <c r="P271" s="65">
        <f t="shared" si="102"/>
        <v>4364370</v>
      </c>
      <c r="Q271" s="84">
        <f t="shared" si="103"/>
        <v>2079801.174947247</v>
      </c>
      <c r="R271" s="84">
        <f t="shared" si="104"/>
        <v>1842647.1465566852</v>
      </c>
      <c r="S271" s="84">
        <f t="shared" si="105"/>
        <v>441921.67849606747</v>
      </c>
      <c r="T271" s="65">
        <v>0</v>
      </c>
    </row>
    <row r="272" spans="1:20" ht="31.5">
      <c r="A272" s="118">
        <f t="shared" si="106"/>
        <v>67</v>
      </c>
      <c r="B272" s="57" t="s">
        <v>331</v>
      </c>
      <c r="C272" s="71">
        <v>58</v>
      </c>
      <c r="D272" s="130">
        <v>38125</v>
      </c>
      <c r="E272" s="71" t="s">
        <v>299</v>
      </c>
      <c r="F272" s="71" t="s">
        <v>300</v>
      </c>
      <c r="G272" s="33">
        <v>6</v>
      </c>
      <c r="H272" s="33">
        <v>6</v>
      </c>
      <c r="I272" s="85">
        <v>87.7</v>
      </c>
      <c r="J272" s="33">
        <v>2</v>
      </c>
      <c r="K272" s="84">
        <v>0</v>
      </c>
      <c r="L272" s="135">
        <v>2</v>
      </c>
      <c r="M272" s="85">
        <v>87.7</v>
      </c>
      <c r="N272" s="85">
        <v>0</v>
      </c>
      <c r="O272" s="85">
        <v>87.7</v>
      </c>
      <c r="P272" s="65">
        <f t="shared" si="102"/>
        <v>2994955</v>
      </c>
      <c r="Q272" s="84">
        <f t="shared" si="103"/>
        <v>1427218.8031523754</v>
      </c>
      <c r="R272" s="84">
        <f t="shared" si="104"/>
        <v>1264476.954248993</v>
      </c>
      <c r="S272" s="84">
        <f t="shared" si="105"/>
        <v>303259.2425986316</v>
      </c>
      <c r="T272" s="65">
        <v>0</v>
      </c>
    </row>
    <row r="273" spans="1:20" ht="31.5">
      <c r="A273" s="118">
        <f t="shared" si="106"/>
        <v>68</v>
      </c>
      <c r="B273" s="57" t="s">
        <v>332</v>
      </c>
      <c r="C273" s="71">
        <v>64</v>
      </c>
      <c r="D273" s="130">
        <v>38125</v>
      </c>
      <c r="E273" s="71" t="s">
        <v>299</v>
      </c>
      <c r="F273" s="71" t="s">
        <v>300</v>
      </c>
      <c r="G273" s="33">
        <v>3</v>
      </c>
      <c r="H273" s="33">
        <v>3</v>
      </c>
      <c r="I273" s="85">
        <v>102</v>
      </c>
      <c r="J273" s="33">
        <v>3</v>
      </c>
      <c r="K273" s="135">
        <v>2</v>
      </c>
      <c r="L273" s="135">
        <v>1</v>
      </c>
      <c r="M273" s="85">
        <v>102</v>
      </c>
      <c r="N273" s="85">
        <v>58.4</v>
      </c>
      <c r="O273" s="85">
        <v>43.6</v>
      </c>
      <c r="P273" s="65">
        <f t="shared" si="102"/>
        <v>3483300</v>
      </c>
      <c r="Q273" s="84">
        <f t="shared" si="103"/>
        <v>1659935.2100517934</v>
      </c>
      <c r="R273" s="84">
        <f t="shared" si="104"/>
        <v>1470657.3470170726</v>
      </c>
      <c r="S273" s="84">
        <f t="shared" si="105"/>
        <v>352707.4429311337</v>
      </c>
      <c r="T273" s="65">
        <v>0</v>
      </c>
    </row>
    <row r="274" spans="1:20" ht="31.5">
      <c r="A274" s="118">
        <f t="shared" si="106"/>
        <v>69</v>
      </c>
      <c r="B274" s="57" t="s">
        <v>333</v>
      </c>
      <c r="C274" s="71">
        <v>65</v>
      </c>
      <c r="D274" s="130">
        <v>38125</v>
      </c>
      <c r="E274" s="71" t="s">
        <v>299</v>
      </c>
      <c r="F274" s="71" t="s">
        <v>300</v>
      </c>
      <c r="G274" s="33">
        <v>9</v>
      </c>
      <c r="H274" s="33">
        <v>9</v>
      </c>
      <c r="I274" s="85">
        <v>127.7</v>
      </c>
      <c r="J274" s="33">
        <v>2</v>
      </c>
      <c r="K274" s="135">
        <v>1</v>
      </c>
      <c r="L274" s="135">
        <v>1</v>
      </c>
      <c r="M274" s="85">
        <v>127.7</v>
      </c>
      <c r="N274" s="85">
        <v>58.9</v>
      </c>
      <c r="O274" s="85">
        <v>68.8</v>
      </c>
      <c r="P274" s="65">
        <f t="shared" si="102"/>
        <v>4360955</v>
      </c>
      <c r="Q274" s="84">
        <f t="shared" si="103"/>
        <v>2078173.787486412</v>
      </c>
      <c r="R274" s="84">
        <f t="shared" si="104"/>
        <v>1841205.325628237</v>
      </c>
      <c r="S274" s="84">
        <f t="shared" si="105"/>
        <v>441575.8868853507</v>
      </c>
      <c r="T274" s="65">
        <v>0</v>
      </c>
    </row>
    <row r="275" spans="1:20" ht="31.5">
      <c r="A275" s="118">
        <f t="shared" si="106"/>
        <v>70</v>
      </c>
      <c r="B275" s="57" t="s">
        <v>334</v>
      </c>
      <c r="C275" s="71">
        <v>66</v>
      </c>
      <c r="D275" s="130">
        <v>38125</v>
      </c>
      <c r="E275" s="71" t="s">
        <v>299</v>
      </c>
      <c r="F275" s="71" t="s">
        <v>300</v>
      </c>
      <c r="G275" s="33">
        <v>4</v>
      </c>
      <c r="H275" s="33">
        <v>4</v>
      </c>
      <c r="I275" s="85">
        <v>100</v>
      </c>
      <c r="J275" s="33">
        <v>4</v>
      </c>
      <c r="K275" s="135">
        <v>4</v>
      </c>
      <c r="L275" s="84">
        <v>0</v>
      </c>
      <c r="M275" s="85">
        <v>100</v>
      </c>
      <c r="N275" s="85">
        <v>100</v>
      </c>
      <c r="O275" s="85">
        <v>0</v>
      </c>
      <c r="P275" s="65">
        <f t="shared" si="102"/>
        <v>3415000</v>
      </c>
      <c r="Q275" s="84">
        <f t="shared" si="103"/>
        <v>1627387.4608350915</v>
      </c>
      <c r="R275" s="84">
        <f t="shared" si="104"/>
        <v>1441820.9284481106</v>
      </c>
      <c r="S275" s="84">
        <f t="shared" si="105"/>
        <v>345791.61071679776</v>
      </c>
      <c r="T275" s="65">
        <v>0</v>
      </c>
    </row>
    <row r="276" spans="1:20" ht="31.5">
      <c r="A276" s="118">
        <f t="shared" si="106"/>
        <v>71</v>
      </c>
      <c r="B276" s="57" t="s">
        <v>335</v>
      </c>
      <c r="C276" s="71">
        <v>67</v>
      </c>
      <c r="D276" s="130">
        <v>38125</v>
      </c>
      <c r="E276" s="71" t="s">
        <v>299</v>
      </c>
      <c r="F276" s="71" t="s">
        <v>300</v>
      </c>
      <c r="G276" s="33">
        <v>5</v>
      </c>
      <c r="H276" s="33">
        <v>5</v>
      </c>
      <c r="I276" s="85">
        <v>87.4</v>
      </c>
      <c r="J276" s="33">
        <v>3</v>
      </c>
      <c r="K276" s="135">
        <v>2</v>
      </c>
      <c r="L276" s="135">
        <v>1</v>
      </c>
      <c r="M276" s="85">
        <v>87.4</v>
      </c>
      <c r="N276" s="85">
        <v>43.6</v>
      </c>
      <c r="O276" s="85">
        <v>43.8</v>
      </c>
      <c r="P276" s="65">
        <f t="shared" si="102"/>
        <v>2984710</v>
      </c>
      <c r="Q276" s="84">
        <f t="shared" si="103"/>
        <v>1422336.6407698703</v>
      </c>
      <c r="R276" s="84">
        <f t="shared" si="104"/>
        <v>1260151.4914636486</v>
      </c>
      <c r="S276" s="84">
        <f t="shared" si="105"/>
        <v>302221.86776648124</v>
      </c>
      <c r="T276" s="65">
        <v>0</v>
      </c>
    </row>
    <row r="277" spans="1:20" ht="31.5">
      <c r="A277" s="118">
        <f t="shared" si="106"/>
        <v>72</v>
      </c>
      <c r="B277" s="57" t="s">
        <v>336</v>
      </c>
      <c r="C277" s="71">
        <v>46</v>
      </c>
      <c r="D277" s="130">
        <v>38125</v>
      </c>
      <c r="E277" s="71" t="s">
        <v>299</v>
      </c>
      <c r="F277" s="71" t="s">
        <v>300</v>
      </c>
      <c r="G277" s="33">
        <v>6</v>
      </c>
      <c r="H277" s="33">
        <v>6</v>
      </c>
      <c r="I277" s="85">
        <v>102.7</v>
      </c>
      <c r="J277" s="33">
        <v>2</v>
      </c>
      <c r="K277" s="135">
        <v>1</v>
      </c>
      <c r="L277" s="135">
        <v>1</v>
      </c>
      <c r="M277" s="85">
        <v>102.7</v>
      </c>
      <c r="N277" s="85">
        <v>42.1</v>
      </c>
      <c r="O277" s="85">
        <v>60.6</v>
      </c>
      <c r="P277" s="65">
        <f t="shared" si="102"/>
        <v>3507205</v>
      </c>
      <c r="Q277" s="84">
        <f t="shared" si="103"/>
        <v>1671326.9222776392</v>
      </c>
      <c r="R277" s="84">
        <f t="shared" si="104"/>
        <v>1480750.0935162096</v>
      </c>
      <c r="S277" s="84">
        <f t="shared" si="105"/>
        <v>355127.9842061513</v>
      </c>
      <c r="T277" s="65">
        <v>0</v>
      </c>
    </row>
    <row r="278" spans="1:20" ht="31.5">
      <c r="A278" s="118">
        <f t="shared" si="106"/>
        <v>73</v>
      </c>
      <c r="B278" s="57" t="s">
        <v>337</v>
      </c>
      <c r="C278" s="71">
        <v>47</v>
      </c>
      <c r="D278" s="130">
        <v>38125</v>
      </c>
      <c r="E278" s="71" t="s">
        <v>299</v>
      </c>
      <c r="F278" s="71" t="s">
        <v>300</v>
      </c>
      <c r="G278" s="33">
        <v>2</v>
      </c>
      <c r="H278" s="33">
        <v>2</v>
      </c>
      <c r="I278" s="85">
        <v>98.7</v>
      </c>
      <c r="J278" s="33">
        <v>2</v>
      </c>
      <c r="K278" s="135">
        <v>2</v>
      </c>
      <c r="L278" s="84">
        <v>0</v>
      </c>
      <c r="M278" s="85">
        <v>98.7</v>
      </c>
      <c r="N278" s="85">
        <v>98.7</v>
      </c>
      <c r="O278" s="85">
        <v>0</v>
      </c>
      <c r="P278" s="65">
        <f t="shared" si="102"/>
        <v>3370605</v>
      </c>
      <c r="Q278" s="84">
        <f t="shared" si="103"/>
        <v>1606231.4238442355</v>
      </c>
      <c r="R278" s="84">
        <f t="shared" si="104"/>
        <v>1423077.2563782851</v>
      </c>
      <c r="S278" s="84">
        <f t="shared" si="105"/>
        <v>341296.3197774794</v>
      </c>
      <c r="T278" s="65">
        <v>0</v>
      </c>
    </row>
    <row r="279" spans="1:20" ht="31.5">
      <c r="A279" s="118">
        <f t="shared" si="106"/>
        <v>74</v>
      </c>
      <c r="B279" s="57" t="s">
        <v>338</v>
      </c>
      <c r="C279" s="71">
        <v>48</v>
      </c>
      <c r="D279" s="130">
        <v>38125</v>
      </c>
      <c r="E279" s="71" t="s">
        <v>299</v>
      </c>
      <c r="F279" s="71" t="s">
        <v>300</v>
      </c>
      <c r="G279" s="33">
        <v>2</v>
      </c>
      <c r="H279" s="33">
        <v>2</v>
      </c>
      <c r="I279" s="85">
        <v>67.3</v>
      </c>
      <c r="J279" s="33">
        <v>2</v>
      </c>
      <c r="K279" s="135">
        <v>2</v>
      </c>
      <c r="L279" s="84">
        <v>0</v>
      </c>
      <c r="M279" s="85">
        <v>67.3</v>
      </c>
      <c r="N279" s="85">
        <v>67.3</v>
      </c>
      <c r="O279" s="85">
        <v>0</v>
      </c>
      <c r="P279" s="65">
        <f t="shared" si="102"/>
        <v>2298295</v>
      </c>
      <c r="Q279" s="84">
        <f t="shared" si="103"/>
        <v>1095231.7611420166</v>
      </c>
      <c r="R279" s="84">
        <f t="shared" si="104"/>
        <v>970345.4848455783</v>
      </c>
      <c r="S279" s="84">
        <f t="shared" si="105"/>
        <v>232717.75401240485</v>
      </c>
      <c r="T279" s="65">
        <v>0</v>
      </c>
    </row>
    <row r="280" spans="1:20" ht="31.5">
      <c r="A280" s="118">
        <f t="shared" si="106"/>
        <v>75</v>
      </c>
      <c r="B280" s="57" t="s">
        <v>339</v>
      </c>
      <c r="C280" s="71">
        <v>71</v>
      </c>
      <c r="D280" s="130">
        <v>38154</v>
      </c>
      <c r="E280" s="71" t="s">
        <v>299</v>
      </c>
      <c r="F280" s="71" t="s">
        <v>300</v>
      </c>
      <c r="G280" s="33">
        <v>8</v>
      </c>
      <c r="H280" s="33">
        <v>8</v>
      </c>
      <c r="I280" s="85">
        <v>86.2</v>
      </c>
      <c r="J280" s="33">
        <v>4</v>
      </c>
      <c r="K280" s="135">
        <v>2</v>
      </c>
      <c r="L280" s="135">
        <v>2</v>
      </c>
      <c r="M280" s="85">
        <v>86.2</v>
      </c>
      <c r="N280" s="85">
        <v>43.1</v>
      </c>
      <c r="O280" s="85">
        <v>43.1</v>
      </c>
      <c r="P280" s="65">
        <f t="shared" si="102"/>
        <v>2943730</v>
      </c>
      <c r="Q280" s="84">
        <f t="shared" si="103"/>
        <v>1402807.991239849</v>
      </c>
      <c r="R280" s="84">
        <f t="shared" si="104"/>
        <v>1242849.6403222713</v>
      </c>
      <c r="S280" s="84">
        <f t="shared" si="105"/>
        <v>298072.36843787966</v>
      </c>
      <c r="T280" s="65">
        <v>0</v>
      </c>
    </row>
    <row r="281" spans="1:20" ht="31.5">
      <c r="A281" s="118">
        <f t="shared" si="106"/>
        <v>76</v>
      </c>
      <c r="B281" s="57" t="s">
        <v>340</v>
      </c>
      <c r="C281" s="71">
        <v>72</v>
      </c>
      <c r="D281" s="130">
        <v>38154</v>
      </c>
      <c r="E281" s="71" t="s">
        <v>299</v>
      </c>
      <c r="F281" s="71" t="s">
        <v>300</v>
      </c>
      <c r="G281" s="33">
        <v>5</v>
      </c>
      <c r="H281" s="33">
        <v>5</v>
      </c>
      <c r="I281" s="85">
        <v>87.7</v>
      </c>
      <c r="J281" s="33">
        <v>2</v>
      </c>
      <c r="K281" s="135">
        <v>2</v>
      </c>
      <c r="L281" s="84">
        <v>0</v>
      </c>
      <c r="M281" s="85">
        <v>87.7</v>
      </c>
      <c r="N281" s="85">
        <v>87.7</v>
      </c>
      <c r="O281" s="85">
        <v>0</v>
      </c>
      <c r="P281" s="65">
        <f t="shared" si="102"/>
        <v>2994955</v>
      </c>
      <c r="Q281" s="84">
        <f t="shared" si="103"/>
        <v>1427218.8031523754</v>
      </c>
      <c r="R281" s="84">
        <f t="shared" si="104"/>
        <v>1264476.954248993</v>
      </c>
      <c r="S281" s="84">
        <f t="shared" si="105"/>
        <v>303259.2425986316</v>
      </c>
      <c r="T281" s="65">
        <v>0</v>
      </c>
    </row>
    <row r="282" spans="1:20" ht="31.5">
      <c r="A282" s="118">
        <f t="shared" si="106"/>
        <v>77</v>
      </c>
      <c r="B282" s="57" t="s">
        <v>341</v>
      </c>
      <c r="C282" s="71">
        <v>73</v>
      </c>
      <c r="D282" s="130">
        <v>38154</v>
      </c>
      <c r="E282" s="71" t="s">
        <v>299</v>
      </c>
      <c r="F282" s="71" t="s">
        <v>300</v>
      </c>
      <c r="G282" s="33">
        <v>3</v>
      </c>
      <c r="H282" s="33">
        <v>3</v>
      </c>
      <c r="I282" s="85">
        <v>84.9</v>
      </c>
      <c r="J282" s="33">
        <v>3</v>
      </c>
      <c r="K282" s="135">
        <v>1</v>
      </c>
      <c r="L282" s="135">
        <v>2</v>
      </c>
      <c r="M282" s="85">
        <v>84.9</v>
      </c>
      <c r="N282" s="85">
        <v>20.8</v>
      </c>
      <c r="O282" s="85">
        <v>64.1</v>
      </c>
      <c r="P282" s="65">
        <f t="shared" si="102"/>
        <v>2899335</v>
      </c>
      <c r="Q282" s="84">
        <f t="shared" si="103"/>
        <v>1381651.954248993</v>
      </c>
      <c r="R282" s="84">
        <f t="shared" si="104"/>
        <v>1224105.9682524458</v>
      </c>
      <c r="S282" s="84">
        <f t="shared" si="105"/>
        <v>293577.0774985613</v>
      </c>
      <c r="T282" s="65">
        <v>0</v>
      </c>
    </row>
    <row r="283" spans="1:20" ht="31.5">
      <c r="A283" s="118">
        <f t="shared" si="106"/>
        <v>78</v>
      </c>
      <c r="B283" s="57" t="s">
        <v>342</v>
      </c>
      <c r="C283" s="71">
        <v>74</v>
      </c>
      <c r="D283" s="130">
        <v>38154</v>
      </c>
      <c r="E283" s="71" t="s">
        <v>299</v>
      </c>
      <c r="F283" s="71" t="s">
        <v>300</v>
      </c>
      <c r="G283" s="33">
        <v>3</v>
      </c>
      <c r="H283" s="33">
        <v>3</v>
      </c>
      <c r="I283" s="85">
        <v>97.4</v>
      </c>
      <c r="J283" s="33">
        <v>3</v>
      </c>
      <c r="K283" s="135">
        <v>2</v>
      </c>
      <c r="L283" s="135">
        <v>1</v>
      </c>
      <c r="M283" s="85">
        <v>97.4</v>
      </c>
      <c r="N283" s="85">
        <v>53.8</v>
      </c>
      <c r="O283" s="85">
        <v>43.6</v>
      </c>
      <c r="P283" s="65">
        <f t="shared" si="102"/>
        <v>3326210</v>
      </c>
      <c r="Q283" s="84">
        <f t="shared" si="103"/>
        <v>1585075.3868533792</v>
      </c>
      <c r="R283" s="84">
        <f t="shared" si="104"/>
        <v>1404333.5843084597</v>
      </c>
      <c r="S283" s="84">
        <f t="shared" si="105"/>
        <v>336801.02883816103</v>
      </c>
      <c r="T283" s="65">
        <v>0</v>
      </c>
    </row>
    <row r="284" spans="1:20" ht="31.5">
      <c r="A284" s="118">
        <f t="shared" si="106"/>
        <v>79</v>
      </c>
      <c r="B284" s="57" t="s">
        <v>343</v>
      </c>
      <c r="C284" s="71">
        <v>180</v>
      </c>
      <c r="D284" s="130">
        <v>38217</v>
      </c>
      <c r="E284" s="71" t="s">
        <v>299</v>
      </c>
      <c r="F284" s="71" t="s">
        <v>300</v>
      </c>
      <c r="G284" s="33">
        <v>3</v>
      </c>
      <c r="H284" s="33">
        <v>3</v>
      </c>
      <c r="I284" s="85">
        <v>101.5</v>
      </c>
      <c r="J284" s="33">
        <v>2</v>
      </c>
      <c r="K284" s="135">
        <v>1</v>
      </c>
      <c r="L284" s="135">
        <v>1</v>
      </c>
      <c r="M284" s="85">
        <v>101.5</v>
      </c>
      <c r="N284" s="85">
        <v>55.9</v>
      </c>
      <c r="O284" s="85">
        <v>45.6</v>
      </c>
      <c r="P284" s="65">
        <f t="shared" si="102"/>
        <v>3466225</v>
      </c>
      <c r="Q284" s="84">
        <f t="shared" si="103"/>
        <v>1651798.272747618</v>
      </c>
      <c r="R284" s="84">
        <f t="shared" si="104"/>
        <v>1463448.242374832</v>
      </c>
      <c r="S284" s="84">
        <f t="shared" si="105"/>
        <v>350978.4848775497</v>
      </c>
      <c r="T284" s="65">
        <v>0</v>
      </c>
    </row>
    <row r="285" spans="1:20" ht="31.5">
      <c r="A285" s="118">
        <f t="shared" si="106"/>
        <v>80</v>
      </c>
      <c r="B285" s="57" t="s">
        <v>344</v>
      </c>
      <c r="C285" s="71">
        <v>183</v>
      </c>
      <c r="D285" s="130">
        <v>38217</v>
      </c>
      <c r="E285" s="71" t="s">
        <v>299</v>
      </c>
      <c r="F285" s="71" t="s">
        <v>300</v>
      </c>
      <c r="G285" s="33">
        <v>12</v>
      </c>
      <c r="H285" s="33">
        <v>12</v>
      </c>
      <c r="I285" s="85">
        <v>228.1</v>
      </c>
      <c r="J285" s="33">
        <v>5</v>
      </c>
      <c r="K285" s="135">
        <v>4</v>
      </c>
      <c r="L285" s="135">
        <v>1</v>
      </c>
      <c r="M285" s="85">
        <v>228.1</v>
      </c>
      <c r="N285" s="85">
        <v>187.4</v>
      </c>
      <c r="O285" s="85">
        <v>40.7</v>
      </c>
      <c r="P285" s="65">
        <f t="shared" si="102"/>
        <v>7789615</v>
      </c>
      <c r="Q285" s="84">
        <f t="shared" si="103"/>
        <v>3712070.798164844</v>
      </c>
      <c r="R285" s="84">
        <f t="shared" si="104"/>
        <v>3288793.53779014</v>
      </c>
      <c r="S285" s="84">
        <f t="shared" si="105"/>
        <v>788750.6640450156</v>
      </c>
      <c r="T285" s="65">
        <v>0</v>
      </c>
    </row>
    <row r="286" spans="1:20" ht="31.5">
      <c r="A286" s="118">
        <f t="shared" si="106"/>
        <v>81</v>
      </c>
      <c r="B286" s="57" t="s">
        <v>345</v>
      </c>
      <c r="C286" s="71">
        <v>184</v>
      </c>
      <c r="D286" s="130">
        <v>38217</v>
      </c>
      <c r="E286" s="71" t="s">
        <v>299</v>
      </c>
      <c r="F286" s="71" t="s">
        <v>300</v>
      </c>
      <c r="G286" s="33">
        <v>24</v>
      </c>
      <c r="H286" s="33">
        <v>24</v>
      </c>
      <c r="I286" s="85">
        <v>372.3</v>
      </c>
      <c r="J286" s="33">
        <v>18</v>
      </c>
      <c r="K286" s="135">
        <v>12</v>
      </c>
      <c r="L286" s="135">
        <v>6</v>
      </c>
      <c r="M286" s="85">
        <v>372.3</v>
      </c>
      <c r="N286" s="85">
        <v>222.2</v>
      </c>
      <c r="O286" s="85">
        <v>150.1</v>
      </c>
      <c r="P286" s="65">
        <f t="shared" si="102"/>
        <v>12714045</v>
      </c>
      <c r="Q286" s="84">
        <f t="shared" si="103"/>
        <v>6058763.516689046</v>
      </c>
      <c r="R286" s="84">
        <f t="shared" si="104"/>
        <v>5367899.316612315</v>
      </c>
      <c r="S286" s="84">
        <f t="shared" si="105"/>
        <v>1287382.166698638</v>
      </c>
      <c r="T286" s="65">
        <v>0</v>
      </c>
    </row>
    <row r="287" spans="1:20" ht="31.5">
      <c r="A287" s="118">
        <f t="shared" si="106"/>
        <v>82</v>
      </c>
      <c r="B287" s="57" t="s">
        <v>346</v>
      </c>
      <c r="C287" s="71">
        <v>185</v>
      </c>
      <c r="D287" s="130">
        <v>38217</v>
      </c>
      <c r="E287" s="71" t="s">
        <v>299</v>
      </c>
      <c r="F287" s="71" t="s">
        <v>300</v>
      </c>
      <c r="G287" s="33">
        <v>4</v>
      </c>
      <c r="H287" s="33">
        <v>4</v>
      </c>
      <c r="I287" s="85">
        <v>96</v>
      </c>
      <c r="J287" s="33">
        <v>4</v>
      </c>
      <c r="K287" s="135">
        <v>4</v>
      </c>
      <c r="L287" s="84">
        <v>0</v>
      </c>
      <c r="M287" s="85">
        <v>96</v>
      </c>
      <c r="N287" s="85">
        <v>96</v>
      </c>
      <c r="O287" s="85">
        <v>0</v>
      </c>
      <c r="P287" s="65">
        <f t="shared" si="102"/>
        <v>3278400</v>
      </c>
      <c r="Q287" s="84">
        <f t="shared" si="103"/>
        <v>1562291.9624016879</v>
      </c>
      <c r="R287" s="84">
        <f t="shared" si="104"/>
        <v>1384148.091310186</v>
      </c>
      <c r="S287" s="84">
        <f t="shared" si="105"/>
        <v>331959.9462881258</v>
      </c>
      <c r="T287" s="65">
        <v>0</v>
      </c>
    </row>
    <row r="288" spans="1:20" ht="31.5">
      <c r="A288" s="118">
        <f t="shared" si="106"/>
        <v>83</v>
      </c>
      <c r="B288" s="57" t="s">
        <v>347</v>
      </c>
      <c r="C288" s="71">
        <v>188</v>
      </c>
      <c r="D288" s="130">
        <v>38217</v>
      </c>
      <c r="E288" s="71" t="s">
        <v>299</v>
      </c>
      <c r="F288" s="71" t="s">
        <v>300</v>
      </c>
      <c r="G288" s="33">
        <v>6</v>
      </c>
      <c r="H288" s="33">
        <v>6</v>
      </c>
      <c r="I288" s="85">
        <v>73.8</v>
      </c>
      <c r="J288" s="33">
        <v>2</v>
      </c>
      <c r="K288" s="135">
        <v>1</v>
      </c>
      <c r="L288" s="135">
        <v>1</v>
      </c>
      <c r="M288" s="85">
        <v>73.8</v>
      </c>
      <c r="N288" s="85">
        <v>37</v>
      </c>
      <c r="O288" s="85">
        <v>36.8</v>
      </c>
      <c r="P288" s="65">
        <f t="shared" si="102"/>
        <v>2520270</v>
      </c>
      <c r="Q288" s="84">
        <f t="shared" si="103"/>
        <v>1201011.9460962976</v>
      </c>
      <c r="R288" s="84">
        <f t="shared" si="104"/>
        <v>1064063.8451947055</v>
      </c>
      <c r="S288" s="84">
        <f t="shared" si="105"/>
        <v>255194.2087089967</v>
      </c>
      <c r="T288" s="65">
        <v>0</v>
      </c>
    </row>
    <row r="289" spans="1:20" ht="31.5">
      <c r="A289" s="118">
        <f t="shared" si="106"/>
        <v>84</v>
      </c>
      <c r="B289" s="57" t="s">
        <v>348</v>
      </c>
      <c r="C289" s="71">
        <v>190</v>
      </c>
      <c r="D289" s="130">
        <v>38251</v>
      </c>
      <c r="E289" s="71" t="s">
        <v>299</v>
      </c>
      <c r="F289" s="71" t="s">
        <v>300</v>
      </c>
      <c r="G289" s="33">
        <v>6</v>
      </c>
      <c r="H289" s="33">
        <v>6</v>
      </c>
      <c r="I289" s="85">
        <v>72.4</v>
      </c>
      <c r="J289" s="33">
        <v>2</v>
      </c>
      <c r="K289" s="84">
        <v>0</v>
      </c>
      <c r="L289" s="135">
        <v>2</v>
      </c>
      <c r="M289" s="85">
        <v>72.4</v>
      </c>
      <c r="N289" s="85">
        <v>0</v>
      </c>
      <c r="O289" s="85">
        <v>72.4</v>
      </c>
      <c r="P289" s="65">
        <f t="shared" si="102"/>
        <v>2472460</v>
      </c>
      <c r="Q289" s="84">
        <f t="shared" si="103"/>
        <v>1178228.5216446065</v>
      </c>
      <c r="R289" s="84">
        <f t="shared" si="104"/>
        <v>1043878.3521964321</v>
      </c>
      <c r="S289" s="84">
        <f t="shared" si="105"/>
        <v>250353.1261589616</v>
      </c>
      <c r="T289" s="65">
        <v>0</v>
      </c>
    </row>
    <row r="290" spans="1:20" ht="31.5">
      <c r="A290" s="118">
        <f t="shared" si="106"/>
        <v>85</v>
      </c>
      <c r="B290" s="57" t="s">
        <v>349</v>
      </c>
      <c r="C290" s="71">
        <v>258</v>
      </c>
      <c r="D290" s="130">
        <v>38957</v>
      </c>
      <c r="E290" s="71" t="s">
        <v>299</v>
      </c>
      <c r="F290" s="71" t="s">
        <v>300</v>
      </c>
      <c r="G290" s="33">
        <v>7</v>
      </c>
      <c r="H290" s="33">
        <v>7</v>
      </c>
      <c r="I290" s="85">
        <v>109.3</v>
      </c>
      <c r="J290" s="33">
        <v>2</v>
      </c>
      <c r="K290" s="135">
        <v>1</v>
      </c>
      <c r="L290" s="135">
        <v>1</v>
      </c>
      <c r="M290" s="85">
        <v>109.3</v>
      </c>
      <c r="N290" s="85">
        <v>55.7</v>
      </c>
      <c r="O290" s="85">
        <v>53.6</v>
      </c>
      <c r="P290" s="65">
        <f t="shared" si="102"/>
        <v>3732595</v>
      </c>
      <c r="Q290" s="84">
        <f t="shared" si="103"/>
        <v>1778734.4946927552</v>
      </c>
      <c r="R290" s="84">
        <f t="shared" si="104"/>
        <v>1575910.2747937848</v>
      </c>
      <c r="S290" s="84">
        <f t="shared" si="105"/>
        <v>377950.2305134599</v>
      </c>
      <c r="T290" s="65">
        <v>0</v>
      </c>
    </row>
    <row r="291" spans="1:20" ht="31.5">
      <c r="A291" s="118">
        <f t="shared" si="106"/>
        <v>86</v>
      </c>
      <c r="B291" s="57" t="s">
        <v>350</v>
      </c>
      <c r="C291" s="71">
        <v>259</v>
      </c>
      <c r="D291" s="130">
        <v>38957</v>
      </c>
      <c r="E291" s="71" t="s">
        <v>299</v>
      </c>
      <c r="F291" s="71" t="s">
        <v>300</v>
      </c>
      <c r="G291" s="33">
        <v>8</v>
      </c>
      <c r="H291" s="33">
        <v>8</v>
      </c>
      <c r="I291" s="85">
        <v>100.8</v>
      </c>
      <c r="J291" s="33">
        <v>3</v>
      </c>
      <c r="K291" s="135">
        <v>2</v>
      </c>
      <c r="L291" s="135">
        <v>1</v>
      </c>
      <c r="M291" s="85">
        <v>100.8</v>
      </c>
      <c r="N291" s="85">
        <v>78.5</v>
      </c>
      <c r="O291" s="85">
        <v>22.3</v>
      </c>
      <c r="P291" s="65">
        <f t="shared" si="102"/>
        <v>3442320</v>
      </c>
      <c r="Q291" s="84">
        <f t="shared" si="103"/>
        <v>1640406.5605217724</v>
      </c>
      <c r="R291" s="84">
        <f t="shared" si="104"/>
        <v>1453355.4958756953</v>
      </c>
      <c r="S291" s="84">
        <f t="shared" si="105"/>
        <v>348557.9436025321</v>
      </c>
      <c r="T291" s="65">
        <v>0</v>
      </c>
    </row>
    <row r="292" spans="1:20" ht="31.5">
      <c r="A292" s="118">
        <f t="shared" si="106"/>
        <v>87</v>
      </c>
      <c r="B292" s="57" t="s">
        <v>351</v>
      </c>
      <c r="C292" s="71">
        <v>260</v>
      </c>
      <c r="D292" s="130">
        <v>38957</v>
      </c>
      <c r="E292" s="71" t="s">
        <v>299</v>
      </c>
      <c r="F292" s="71" t="s">
        <v>300</v>
      </c>
      <c r="G292" s="33">
        <v>5</v>
      </c>
      <c r="H292" s="33">
        <v>5</v>
      </c>
      <c r="I292" s="85">
        <v>102.7</v>
      </c>
      <c r="J292" s="33">
        <v>3</v>
      </c>
      <c r="K292" s="135">
        <v>1</v>
      </c>
      <c r="L292" s="135">
        <v>2</v>
      </c>
      <c r="M292" s="85">
        <v>102.7</v>
      </c>
      <c r="N292" s="85">
        <v>39.9</v>
      </c>
      <c r="O292" s="85">
        <v>62.8</v>
      </c>
      <c r="P292" s="65">
        <f t="shared" si="102"/>
        <v>3507205</v>
      </c>
      <c r="Q292" s="84">
        <f t="shared" si="103"/>
        <v>1671326.9222776392</v>
      </c>
      <c r="R292" s="84">
        <f t="shared" si="104"/>
        <v>1480750.0935162096</v>
      </c>
      <c r="S292" s="84">
        <f t="shared" si="105"/>
        <v>355127.9842061513</v>
      </c>
      <c r="T292" s="65">
        <v>0</v>
      </c>
    </row>
    <row r="293" spans="1:20" ht="31.5">
      <c r="A293" s="118">
        <f t="shared" si="106"/>
        <v>88</v>
      </c>
      <c r="B293" s="57" t="s">
        <v>352</v>
      </c>
      <c r="C293" s="71">
        <v>261</v>
      </c>
      <c r="D293" s="130">
        <v>38957</v>
      </c>
      <c r="E293" s="71" t="s">
        <v>299</v>
      </c>
      <c r="F293" s="71" t="s">
        <v>300</v>
      </c>
      <c r="G293" s="33">
        <v>6</v>
      </c>
      <c r="H293" s="33">
        <v>6</v>
      </c>
      <c r="I293" s="85">
        <v>111.7</v>
      </c>
      <c r="J293" s="33">
        <v>2</v>
      </c>
      <c r="K293" s="84">
        <v>0</v>
      </c>
      <c r="L293" s="135">
        <v>2</v>
      </c>
      <c r="M293" s="85">
        <v>111.7</v>
      </c>
      <c r="N293" s="85">
        <v>0</v>
      </c>
      <c r="O293" s="85">
        <v>111.7</v>
      </c>
      <c r="P293" s="65">
        <f t="shared" si="102"/>
        <v>3814555</v>
      </c>
      <c r="Q293" s="84">
        <f t="shared" si="103"/>
        <v>1817791.7937527974</v>
      </c>
      <c r="R293" s="84">
        <f t="shared" si="104"/>
        <v>1610513.9770765395</v>
      </c>
      <c r="S293" s="84">
        <f t="shared" si="105"/>
        <v>386249.22917066305</v>
      </c>
      <c r="T293" s="65">
        <v>0</v>
      </c>
    </row>
    <row r="294" spans="1:20" ht="31.5">
      <c r="A294" s="118">
        <f t="shared" si="106"/>
        <v>89</v>
      </c>
      <c r="B294" s="57" t="s">
        <v>353</v>
      </c>
      <c r="C294" s="71">
        <v>30</v>
      </c>
      <c r="D294" s="130">
        <v>38097</v>
      </c>
      <c r="E294" s="71" t="s">
        <v>299</v>
      </c>
      <c r="F294" s="71" t="s">
        <v>300</v>
      </c>
      <c r="G294" s="33">
        <v>7</v>
      </c>
      <c r="H294" s="33">
        <v>7</v>
      </c>
      <c r="I294" s="85">
        <v>109</v>
      </c>
      <c r="J294" s="33">
        <v>2</v>
      </c>
      <c r="K294" s="135">
        <v>1</v>
      </c>
      <c r="L294" s="135">
        <v>1</v>
      </c>
      <c r="M294" s="85">
        <v>109</v>
      </c>
      <c r="N294" s="85">
        <v>54</v>
      </c>
      <c r="O294" s="85">
        <v>55</v>
      </c>
      <c r="P294" s="65">
        <f t="shared" si="102"/>
        <v>3722350</v>
      </c>
      <c r="Q294" s="84">
        <f t="shared" si="103"/>
        <v>1773852.3323102498</v>
      </c>
      <c r="R294" s="84">
        <f t="shared" si="104"/>
        <v>1571584.8120084405</v>
      </c>
      <c r="S294" s="84">
        <f t="shared" si="105"/>
        <v>376912.85568130953</v>
      </c>
      <c r="T294" s="65">
        <v>0</v>
      </c>
    </row>
    <row r="295" spans="1:20" ht="31.5">
      <c r="A295" s="118">
        <f t="shared" si="106"/>
        <v>90</v>
      </c>
      <c r="B295" s="57" t="s">
        <v>354</v>
      </c>
      <c r="C295" s="71">
        <v>31</v>
      </c>
      <c r="D295" s="130">
        <v>38097</v>
      </c>
      <c r="E295" s="71" t="s">
        <v>299</v>
      </c>
      <c r="F295" s="71" t="s">
        <v>300</v>
      </c>
      <c r="G295" s="33">
        <v>3</v>
      </c>
      <c r="H295" s="33">
        <v>3</v>
      </c>
      <c r="I295" s="85">
        <v>111.1</v>
      </c>
      <c r="J295" s="33">
        <v>2</v>
      </c>
      <c r="K295" s="135">
        <v>2</v>
      </c>
      <c r="L295" s="84">
        <v>0</v>
      </c>
      <c r="M295" s="85">
        <v>111.1</v>
      </c>
      <c r="N295" s="85">
        <v>111.1</v>
      </c>
      <c r="O295" s="85">
        <v>0</v>
      </c>
      <c r="P295" s="65">
        <f t="shared" si="102"/>
        <v>3794065</v>
      </c>
      <c r="Q295" s="84">
        <f t="shared" si="103"/>
        <v>1808027.4689877867</v>
      </c>
      <c r="R295" s="84">
        <f t="shared" si="104"/>
        <v>1601863.0515058506</v>
      </c>
      <c r="S295" s="84">
        <f t="shared" si="105"/>
        <v>384174.4795063623</v>
      </c>
      <c r="T295" s="65">
        <v>0</v>
      </c>
    </row>
    <row r="296" spans="1:20" ht="31.5">
      <c r="A296" s="118">
        <f t="shared" si="106"/>
        <v>91</v>
      </c>
      <c r="B296" s="57" t="s">
        <v>355</v>
      </c>
      <c r="C296" s="71">
        <v>32</v>
      </c>
      <c r="D296" s="130">
        <v>38097</v>
      </c>
      <c r="E296" s="71" t="s">
        <v>299</v>
      </c>
      <c r="F296" s="71" t="s">
        <v>300</v>
      </c>
      <c r="G296" s="33">
        <v>6</v>
      </c>
      <c r="H296" s="33">
        <v>6</v>
      </c>
      <c r="I296" s="85">
        <v>107.7</v>
      </c>
      <c r="J296" s="33">
        <v>2</v>
      </c>
      <c r="K296" s="135">
        <v>1</v>
      </c>
      <c r="L296" s="135">
        <v>1</v>
      </c>
      <c r="M296" s="85">
        <v>107.7</v>
      </c>
      <c r="N296" s="85">
        <v>54.3</v>
      </c>
      <c r="O296" s="85">
        <v>53.4</v>
      </c>
      <c r="P296" s="65">
        <f t="shared" si="102"/>
        <v>3677955</v>
      </c>
      <c r="Q296" s="84">
        <f t="shared" si="103"/>
        <v>1752696.2953193937</v>
      </c>
      <c r="R296" s="84">
        <f t="shared" si="104"/>
        <v>1552841.139938615</v>
      </c>
      <c r="S296" s="84">
        <f t="shared" si="105"/>
        <v>372417.56474199117</v>
      </c>
      <c r="T296" s="65">
        <v>0</v>
      </c>
    </row>
    <row r="297" spans="1:20" ht="31.5">
      <c r="A297" s="118">
        <f t="shared" si="106"/>
        <v>92</v>
      </c>
      <c r="B297" s="57" t="s">
        <v>356</v>
      </c>
      <c r="C297" s="71">
        <v>33</v>
      </c>
      <c r="D297" s="130">
        <v>38097</v>
      </c>
      <c r="E297" s="71" t="s">
        <v>299</v>
      </c>
      <c r="F297" s="71" t="s">
        <v>300</v>
      </c>
      <c r="G297" s="33">
        <v>5</v>
      </c>
      <c r="H297" s="33">
        <v>5</v>
      </c>
      <c r="I297" s="85">
        <v>108.7</v>
      </c>
      <c r="J297" s="33">
        <v>2</v>
      </c>
      <c r="K297" s="84">
        <v>0</v>
      </c>
      <c r="L297" s="135">
        <v>2</v>
      </c>
      <c r="M297" s="85">
        <v>108.7</v>
      </c>
      <c r="N297" s="85">
        <v>0</v>
      </c>
      <c r="O297" s="85">
        <v>108.7</v>
      </c>
      <c r="P297" s="65">
        <f t="shared" si="102"/>
        <v>3712105</v>
      </c>
      <c r="Q297" s="84">
        <f t="shared" si="103"/>
        <v>1768970.1699277447</v>
      </c>
      <c r="R297" s="84">
        <f t="shared" si="104"/>
        <v>1567259.3492230962</v>
      </c>
      <c r="S297" s="84">
        <f t="shared" si="105"/>
        <v>375875.4808491591</v>
      </c>
      <c r="T297" s="65">
        <v>0</v>
      </c>
    </row>
    <row r="298" spans="1:20" ht="31.5">
      <c r="A298" s="118">
        <f t="shared" si="106"/>
        <v>93</v>
      </c>
      <c r="B298" s="57" t="s">
        <v>357</v>
      </c>
      <c r="C298" s="71">
        <v>34</v>
      </c>
      <c r="D298" s="130">
        <v>38097</v>
      </c>
      <c r="E298" s="71" t="s">
        <v>299</v>
      </c>
      <c r="F298" s="71" t="s">
        <v>300</v>
      </c>
      <c r="G298" s="33">
        <v>5</v>
      </c>
      <c r="H298" s="33">
        <v>5</v>
      </c>
      <c r="I298" s="85">
        <v>108.1</v>
      </c>
      <c r="J298" s="33">
        <v>2</v>
      </c>
      <c r="K298" s="135">
        <v>2</v>
      </c>
      <c r="L298" s="84">
        <v>0</v>
      </c>
      <c r="M298" s="85">
        <v>108.1</v>
      </c>
      <c r="N298" s="85">
        <v>108.1</v>
      </c>
      <c r="O298" s="85">
        <v>0</v>
      </c>
      <c r="P298" s="65">
        <f t="shared" si="102"/>
        <v>3691615</v>
      </c>
      <c r="Q298" s="84">
        <f t="shared" si="103"/>
        <v>1759205.845162734</v>
      </c>
      <c r="R298" s="84">
        <f t="shared" si="104"/>
        <v>1558608.4236524075</v>
      </c>
      <c r="S298" s="84">
        <f t="shared" si="105"/>
        <v>373800.7311848583</v>
      </c>
      <c r="T298" s="65">
        <v>0</v>
      </c>
    </row>
    <row r="299" spans="1:20" ht="31.5">
      <c r="A299" s="118">
        <f t="shared" si="106"/>
        <v>94</v>
      </c>
      <c r="B299" s="57" t="s">
        <v>358</v>
      </c>
      <c r="C299" s="71">
        <v>35</v>
      </c>
      <c r="D299" s="130">
        <v>38097</v>
      </c>
      <c r="E299" s="71" t="s">
        <v>299</v>
      </c>
      <c r="F299" s="71" t="s">
        <v>300</v>
      </c>
      <c r="G299" s="33">
        <v>3</v>
      </c>
      <c r="H299" s="33">
        <v>3</v>
      </c>
      <c r="I299" s="85">
        <v>64.2</v>
      </c>
      <c r="J299" s="33">
        <v>3</v>
      </c>
      <c r="K299" s="135">
        <v>3</v>
      </c>
      <c r="L299" s="84">
        <v>0</v>
      </c>
      <c r="M299" s="85">
        <v>64.2</v>
      </c>
      <c r="N299" s="85">
        <v>64.2</v>
      </c>
      <c r="O299" s="85">
        <v>0</v>
      </c>
      <c r="P299" s="65">
        <f t="shared" si="102"/>
        <v>2192430</v>
      </c>
      <c r="Q299" s="84">
        <f t="shared" si="103"/>
        <v>1044782.7498561288</v>
      </c>
      <c r="R299" s="84">
        <f t="shared" si="104"/>
        <v>925649.036063687</v>
      </c>
      <c r="S299" s="84">
        <f t="shared" si="105"/>
        <v>221998.21408018415</v>
      </c>
      <c r="T299" s="65">
        <v>0</v>
      </c>
    </row>
    <row r="300" spans="1:20" ht="31.5">
      <c r="A300" s="118">
        <f t="shared" si="106"/>
        <v>95</v>
      </c>
      <c r="B300" s="57" t="s">
        <v>359</v>
      </c>
      <c r="C300" s="71">
        <v>37</v>
      </c>
      <c r="D300" s="130">
        <v>38097</v>
      </c>
      <c r="E300" s="71" t="s">
        <v>299</v>
      </c>
      <c r="F300" s="71" t="s">
        <v>300</v>
      </c>
      <c r="G300" s="33">
        <v>3</v>
      </c>
      <c r="H300" s="33">
        <v>3</v>
      </c>
      <c r="I300" s="85">
        <v>86.5</v>
      </c>
      <c r="J300" s="33">
        <v>3</v>
      </c>
      <c r="K300" s="84">
        <v>0</v>
      </c>
      <c r="L300" s="135">
        <v>3</v>
      </c>
      <c r="M300" s="85">
        <v>86.5</v>
      </c>
      <c r="N300" s="85">
        <v>0</v>
      </c>
      <c r="O300" s="85">
        <v>86.5</v>
      </c>
      <c r="P300" s="65">
        <f t="shared" si="102"/>
        <v>2953975</v>
      </c>
      <c r="Q300" s="84">
        <f t="shared" si="103"/>
        <v>1407690.1536223541</v>
      </c>
      <c r="R300" s="84">
        <f t="shared" si="104"/>
        <v>1247175.1031076156</v>
      </c>
      <c r="S300" s="84">
        <f t="shared" si="105"/>
        <v>299109.74327003</v>
      </c>
      <c r="T300" s="65">
        <v>0</v>
      </c>
    </row>
    <row r="301" spans="1:20" ht="31.5">
      <c r="A301" s="118">
        <f t="shared" si="106"/>
        <v>96</v>
      </c>
      <c r="B301" s="57" t="s">
        <v>360</v>
      </c>
      <c r="C301" s="71">
        <v>39</v>
      </c>
      <c r="D301" s="130">
        <v>38097</v>
      </c>
      <c r="E301" s="71" t="s">
        <v>299</v>
      </c>
      <c r="F301" s="71" t="s">
        <v>300</v>
      </c>
      <c r="G301" s="33">
        <v>9</v>
      </c>
      <c r="H301" s="33">
        <v>9</v>
      </c>
      <c r="I301" s="85">
        <v>86</v>
      </c>
      <c r="J301" s="33">
        <v>2</v>
      </c>
      <c r="K301" s="84">
        <v>0</v>
      </c>
      <c r="L301" s="135">
        <v>2</v>
      </c>
      <c r="M301" s="85">
        <v>86</v>
      </c>
      <c r="N301" s="85">
        <v>0</v>
      </c>
      <c r="O301" s="85">
        <v>86</v>
      </c>
      <c r="P301" s="65">
        <f t="shared" si="102"/>
        <v>2936900</v>
      </c>
      <c r="Q301" s="84">
        <f t="shared" si="103"/>
        <v>1399553.2163181787</v>
      </c>
      <c r="R301" s="84">
        <f t="shared" si="104"/>
        <v>1239965.998465375</v>
      </c>
      <c r="S301" s="84">
        <f t="shared" si="105"/>
        <v>297380.78521644603</v>
      </c>
      <c r="T301" s="65">
        <v>0</v>
      </c>
    </row>
    <row r="302" spans="1:20" ht="31.5">
      <c r="A302" s="118">
        <f t="shared" si="106"/>
        <v>97</v>
      </c>
      <c r="B302" s="57" t="s">
        <v>361</v>
      </c>
      <c r="C302" s="71">
        <v>40</v>
      </c>
      <c r="D302" s="130">
        <v>38097</v>
      </c>
      <c r="E302" s="71" t="s">
        <v>299</v>
      </c>
      <c r="F302" s="71" t="s">
        <v>300</v>
      </c>
      <c r="G302" s="33">
        <v>6</v>
      </c>
      <c r="H302" s="33">
        <v>6</v>
      </c>
      <c r="I302" s="85">
        <v>97.4</v>
      </c>
      <c r="J302" s="33">
        <v>2</v>
      </c>
      <c r="K302" s="135">
        <v>2</v>
      </c>
      <c r="L302" s="84">
        <v>0</v>
      </c>
      <c r="M302" s="85">
        <v>97.4</v>
      </c>
      <c r="N302" s="85">
        <v>97.4</v>
      </c>
      <c r="O302" s="85">
        <v>0</v>
      </c>
      <c r="P302" s="65">
        <f t="shared" si="102"/>
        <v>3326210</v>
      </c>
      <c r="Q302" s="84">
        <f t="shared" si="103"/>
        <v>1585075.3868533792</v>
      </c>
      <c r="R302" s="84">
        <f t="shared" si="104"/>
        <v>1404333.5843084597</v>
      </c>
      <c r="S302" s="84">
        <f t="shared" si="105"/>
        <v>336801.02883816103</v>
      </c>
      <c r="T302" s="65">
        <v>0</v>
      </c>
    </row>
    <row r="303" spans="1:20" ht="31.5">
      <c r="A303" s="118">
        <f t="shared" si="106"/>
        <v>98</v>
      </c>
      <c r="B303" s="57" t="s">
        <v>362</v>
      </c>
      <c r="C303" s="71">
        <v>54</v>
      </c>
      <c r="D303" s="130">
        <v>38125</v>
      </c>
      <c r="E303" s="71" t="s">
        <v>299</v>
      </c>
      <c r="F303" s="71" t="s">
        <v>300</v>
      </c>
      <c r="G303" s="33">
        <v>7</v>
      </c>
      <c r="H303" s="33">
        <v>7</v>
      </c>
      <c r="I303" s="85">
        <v>104.9</v>
      </c>
      <c r="J303" s="33">
        <v>3</v>
      </c>
      <c r="K303" s="135">
        <v>1</v>
      </c>
      <c r="L303" s="135">
        <v>2</v>
      </c>
      <c r="M303" s="85">
        <v>104.9</v>
      </c>
      <c r="N303" s="85">
        <v>26.4</v>
      </c>
      <c r="O303" s="85">
        <v>78.5</v>
      </c>
      <c r="P303" s="65">
        <f t="shared" si="102"/>
        <v>3582335</v>
      </c>
      <c r="Q303" s="84">
        <f t="shared" si="103"/>
        <v>1707129.446416011</v>
      </c>
      <c r="R303" s="84">
        <f t="shared" si="104"/>
        <v>1512470.153942068</v>
      </c>
      <c r="S303" s="84">
        <f t="shared" si="105"/>
        <v>362735.3996419208</v>
      </c>
      <c r="T303" s="65">
        <v>0</v>
      </c>
    </row>
    <row r="304" spans="1:20" ht="31.5">
      <c r="A304" s="118">
        <f t="shared" si="106"/>
        <v>99</v>
      </c>
      <c r="B304" s="57" t="s">
        <v>363</v>
      </c>
      <c r="C304" s="71">
        <v>194</v>
      </c>
      <c r="D304" s="130">
        <v>38251</v>
      </c>
      <c r="E304" s="71" t="s">
        <v>299</v>
      </c>
      <c r="F304" s="71" t="s">
        <v>300</v>
      </c>
      <c r="G304" s="33">
        <v>4</v>
      </c>
      <c r="H304" s="33">
        <v>4</v>
      </c>
      <c r="I304" s="85">
        <v>83.1</v>
      </c>
      <c r="J304" s="33">
        <v>4</v>
      </c>
      <c r="K304" s="135">
        <v>4</v>
      </c>
      <c r="L304" s="84">
        <v>0</v>
      </c>
      <c r="M304" s="85">
        <v>83.1</v>
      </c>
      <c r="N304" s="85">
        <v>83.1</v>
      </c>
      <c r="O304" s="85">
        <v>0</v>
      </c>
      <c r="P304" s="65">
        <f t="shared" si="102"/>
        <v>2837865</v>
      </c>
      <c r="Q304" s="84">
        <f t="shared" si="103"/>
        <v>1352358.979953961</v>
      </c>
      <c r="R304" s="84">
        <f t="shared" si="104"/>
        <v>1198153.1915403798</v>
      </c>
      <c r="S304" s="84">
        <f t="shared" si="105"/>
        <v>287352.8285056589</v>
      </c>
      <c r="T304" s="65">
        <v>0</v>
      </c>
    </row>
    <row r="305" spans="1:20" ht="31.5">
      <c r="A305" s="118">
        <f t="shared" si="106"/>
        <v>100</v>
      </c>
      <c r="B305" s="57" t="s">
        <v>364</v>
      </c>
      <c r="C305" s="71">
        <v>195</v>
      </c>
      <c r="D305" s="130">
        <v>38251</v>
      </c>
      <c r="E305" s="71" t="s">
        <v>299</v>
      </c>
      <c r="F305" s="71" t="s">
        <v>300</v>
      </c>
      <c r="G305" s="33">
        <v>3</v>
      </c>
      <c r="H305" s="33">
        <v>3</v>
      </c>
      <c r="I305" s="85">
        <v>55.7</v>
      </c>
      <c r="J305" s="33">
        <v>3</v>
      </c>
      <c r="K305" s="135">
        <v>3</v>
      </c>
      <c r="L305" s="84">
        <v>0</v>
      </c>
      <c r="M305" s="85">
        <v>55.7</v>
      </c>
      <c r="N305" s="85">
        <v>55.7</v>
      </c>
      <c r="O305" s="85">
        <v>0</v>
      </c>
      <c r="P305" s="65">
        <f t="shared" si="102"/>
        <v>1902155</v>
      </c>
      <c r="Q305" s="84">
        <f t="shared" si="103"/>
        <v>906454.815685146</v>
      </c>
      <c r="R305" s="84">
        <f t="shared" si="104"/>
        <v>803094.2571455976</v>
      </c>
      <c r="S305" s="84">
        <f t="shared" si="105"/>
        <v>192605.92716925635</v>
      </c>
      <c r="T305" s="65">
        <v>0</v>
      </c>
    </row>
    <row r="306" spans="1:20" ht="31.5">
      <c r="A306" s="118">
        <f t="shared" si="106"/>
        <v>101</v>
      </c>
      <c r="B306" s="57" t="s">
        <v>365</v>
      </c>
      <c r="C306" s="71">
        <v>199</v>
      </c>
      <c r="D306" s="130">
        <v>38251</v>
      </c>
      <c r="E306" s="71" t="s">
        <v>299</v>
      </c>
      <c r="F306" s="71" t="s">
        <v>300</v>
      </c>
      <c r="G306" s="33">
        <v>5</v>
      </c>
      <c r="H306" s="33">
        <v>5</v>
      </c>
      <c r="I306" s="85">
        <v>88.4</v>
      </c>
      <c r="J306" s="33">
        <v>2</v>
      </c>
      <c r="K306" s="135">
        <v>2</v>
      </c>
      <c r="L306" s="84">
        <v>0</v>
      </c>
      <c r="M306" s="85">
        <v>88.4</v>
      </c>
      <c r="N306" s="85">
        <v>88.4</v>
      </c>
      <c r="O306" s="85">
        <v>0</v>
      </c>
      <c r="P306" s="65">
        <f t="shared" si="102"/>
        <v>3018860</v>
      </c>
      <c r="Q306" s="84">
        <f t="shared" si="103"/>
        <v>1438610.5153782212</v>
      </c>
      <c r="R306" s="84">
        <f t="shared" si="104"/>
        <v>1274569.7007481297</v>
      </c>
      <c r="S306" s="84">
        <f t="shared" si="105"/>
        <v>305679.7838736492</v>
      </c>
      <c r="T306" s="65">
        <v>0</v>
      </c>
    </row>
    <row r="307" spans="1:20" ht="31.5">
      <c r="A307" s="118">
        <f t="shared" si="106"/>
        <v>102</v>
      </c>
      <c r="B307" s="57" t="s">
        <v>366</v>
      </c>
      <c r="C307" s="71">
        <v>200</v>
      </c>
      <c r="D307" s="130">
        <v>38251</v>
      </c>
      <c r="E307" s="71" t="s">
        <v>299</v>
      </c>
      <c r="F307" s="71" t="s">
        <v>300</v>
      </c>
      <c r="G307" s="33">
        <v>5</v>
      </c>
      <c r="H307" s="33">
        <v>5</v>
      </c>
      <c r="I307" s="85">
        <v>95</v>
      </c>
      <c r="J307" s="33">
        <v>2</v>
      </c>
      <c r="K307" s="135">
        <v>1</v>
      </c>
      <c r="L307" s="135">
        <v>1</v>
      </c>
      <c r="M307" s="85">
        <v>95</v>
      </c>
      <c r="N307" s="85">
        <v>32.9</v>
      </c>
      <c r="O307" s="85">
        <v>62.1</v>
      </c>
      <c r="P307" s="65">
        <f t="shared" si="102"/>
        <v>3244250</v>
      </c>
      <c r="Q307" s="84">
        <f t="shared" si="103"/>
        <v>1546018.087793337</v>
      </c>
      <c r="R307" s="84">
        <f t="shared" si="104"/>
        <v>1369729.882025705</v>
      </c>
      <c r="S307" s="84">
        <f t="shared" si="105"/>
        <v>328502.03018095787</v>
      </c>
      <c r="T307" s="65">
        <v>0</v>
      </c>
    </row>
    <row r="308" spans="1:20" ht="31.5">
      <c r="A308" s="118">
        <f t="shared" si="106"/>
        <v>103</v>
      </c>
      <c r="B308" s="57" t="s">
        <v>302</v>
      </c>
      <c r="C308" s="71">
        <v>206</v>
      </c>
      <c r="D308" s="130">
        <v>38251</v>
      </c>
      <c r="E308" s="71" t="s">
        <v>299</v>
      </c>
      <c r="F308" s="71" t="s">
        <v>300</v>
      </c>
      <c r="G308" s="33">
        <v>15</v>
      </c>
      <c r="H308" s="33">
        <v>15</v>
      </c>
      <c r="I308" s="85">
        <v>193</v>
      </c>
      <c r="J308" s="33">
        <v>6</v>
      </c>
      <c r="K308" s="135">
        <v>5</v>
      </c>
      <c r="L308" s="135">
        <v>1</v>
      </c>
      <c r="M308" s="85">
        <v>193</v>
      </c>
      <c r="N308" s="85">
        <v>157.8</v>
      </c>
      <c r="O308" s="85">
        <v>35.2</v>
      </c>
      <c r="P308" s="65">
        <f t="shared" si="102"/>
        <v>6590950</v>
      </c>
      <c r="Q308" s="84">
        <f t="shared" si="103"/>
        <v>3140857.7994117266</v>
      </c>
      <c r="R308" s="84">
        <f t="shared" si="104"/>
        <v>2782714.3919048533</v>
      </c>
      <c r="S308" s="84">
        <f t="shared" si="105"/>
        <v>667377.8086834196</v>
      </c>
      <c r="T308" s="65">
        <v>0</v>
      </c>
    </row>
    <row r="309" spans="1:20" ht="31.5">
      <c r="A309" s="118">
        <f t="shared" si="106"/>
        <v>104</v>
      </c>
      <c r="B309" s="57" t="s">
        <v>303</v>
      </c>
      <c r="C309" s="71">
        <v>207</v>
      </c>
      <c r="D309" s="130">
        <v>38251</v>
      </c>
      <c r="E309" s="71" t="s">
        <v>299</v>
      </c>
      <c r="F309" s="71" t="s">
        <v>300</v>
      </c>
      <c r="G309" s="33">
        <v>6</v>
      </c>
      <c r="H309" s="33">
        <v>6</v>
      </c>
      <c r="I309" s="85">
        <v>100.4</v>
      </c>
      <c r="J309" s="33">
        <v>2</v>
      </c>
      <c r="K309" s="135">
        <v>2</v>
      </c>
      <c r="L309" s="84">
        <v>0</v>
      </c>
      <c r="M309" s="85">
        <v>100.4</v>
      </c>
      <c r="N309" s="85">
        <v>100.4</v>
      </c>
      <c r="O309" s="85">
        <v>0</v>
      </c>
      <c r="P309" s="65">
        <f t="shared" si="102"/>
        <v>3428660</v>
      </c>
      <c r="Q309" s="84">
        <f t="shared" si="103"/>
        <v>1633897.010678432</v>
      </c>
      <c r="R309" s="84">
        <f t="shared" si="104"/>
        <v>1447588.212161903</v>
      </c>
      <c r="S309" s="84">
        <f t="shared" si="105"/>
        <v>347174.77715966495</v>
      </c>
      <c r="T309" s="65">
        <v>0</v>
      </c>
    </row>
    <row r="310" spans="1:20" ht="31.5">
      <c r="A310" s="118">
        <f t="shared" si="106"/>
        <v>105</v>
      </c>
      <c r="B310" s="57" t="s">
        <v>304</v>
      </c>
      <c r="C310" s="71">
        <v>75</v>
      </c>
      <c r="D310" s="130">
        <v>38154</v>
      </c>
      <c r="E310" s="71" t="s">
        <v>299</v>
      </c>
      <c r="F310" s="71" t="s">
        <v>300</v>
      </c>
      <c r="G310" s="33">
        <v>10</v>
      </c>
      <c r="H310" s="33">
        <v>10</v>
      </c>
      <c r="I310" s="85">
        <v>86.5</v>
      </c>
      <c r="J310" s="33">
        <v>3</v>
      </c>
      <c r="K310" s="135">
        <v>1</v>
      </c>
      <c r="L310" s="135">
        <v>2</v>
      </c>
      <c r="M310" s="85">
        <v>86.5</v>
      </c>
      <c r="N310" s="85">
        <v>21.6</v>
      </c>
      <c r="O310" s="85">
        <v>64.9</v>
      </c>
      <c r="P310" s="65">
        <f t="shared" si="102"/>
        <v>2953975</v>
      </c>
      <c r="Q310" s="84">
        <f t="shared" si="103"/>
        <v>1407690.1536223541</v>
      </c>
      <c r="R310" s="84">
        <f t="shared" si="104"/>
        <v>1247175.1031076156</v>
      </c>
      <c r="S310" s="84">
        <f t="shared" si="105"/>
        <v>299109.74327003</v>
      </c>
      <c r="T310" s="65">
        <v>0</v>
      </c>
    </row>
    <row r="311" spans="1:20" ht="47.25">
      <c r="A311" s="118">
        <f t="shared" si="106"/>
        <v>106</v>
      </c>
      <c r="B311" s="57" t="s">
        <v>305</v>
      </c>
      <c r="C311" s="71">
        <v>24</v>
      </c>
      <c r="D311" s="130">
        <v>38097</v>
      </c>
      <c r="E311" s="71" t="s">
        <v>299</v>
      </c>
      <c r="F311" s="71" t="s">
        <v>300</v>
      </c>
      <c r="G311" s="33">
        <v>4</v>
      </c>
      <c r="H311" s="33">
        <v>4</v>
      </c>
      <c r="I311" s="85">
        <v>108.3</v>
      </c>
      <c r="J311" s="33">
        <v>2</v>
      </c>
      <c r="K311" s="135">
        <v>2</v>
      </c>
      <c r="L311" s="84">
        <v>0</v>
      </c>
      <c r="M311" s="85">
        <v>108.3</v>
      </c>
      <c r="N311" s="85">
        <v>108.3</v>
      </c>
      <c r="O311" s="85">
        <v>0</v>
      </c>
      <c r="P311" s="65">
        <f t="shared" si="102"/>
        <v>3698445</v>
      </c>
      <c r="Q311" s="84">
        <f t="shared" si="103"/>
        <v>1762460.6200844042</v>
      </c>
      <c r="R311" s="84">
        <f t="shared" si="104"/>
        <v>1561492.0655093037</v>
      </c>
      <c r="S311" s="84">
        <f t="shared" si="105"/>
        <v>374492.31440629193</v>
      </c>
      <c r="T311" s="65">
        <v>0</v>
      </c>
    </row>
    <row r="312" spans="1:20" ht="31.5">
      <c r="A312" s="118">
        <f t="shared" si="106"/>
        <v>107</v>
      </c>
      <c r="B312" s="57" t="s">
        <v>367</v>
      </c>
      <c r="C312" s="71">
        <v>20</v>
      </c>
      <c r="D312" s="130">
        <v>38097</v>
      </c>
      <c r="E312" s="71" t="s">
        <v>299</v>
      </c>
      <c r="F312" s="71" t="s">
        <v>300</v>
      </c>
      <c r="G312" s="33">
        <v>2</v>
      </c>
      <c r="H312" s="33">
        <v>2</v>
      </c>
      <c r="I312" s="85">
        <v>107.4</v>
      </c>
      <c r="J312" s="33">
        <v>2</v>
      </c>
      <c r="K312" s="84">
        <v>0</v>
      </c>
      <c r="L312" s="135">
        <v>2</v>
      </c>
      <c r="M312" s="85">
        <v>107.4</v>
      </c>
      <c r="N312" s="85">
        <v>0</v>
      </c>
      <c r="O312" s="85">
        <v>107.4</v>
      </c>
      <c r="P312" s="65">
        <f t="shared" si="102"/>
        <v>3667710</v>
      </c>
      <c r="Q312" s="84">
        <f t="shared" si="103"/>
        <v>1747814.1329368884</v>
      </c>
      <c r="R312" s="84">
        <f t="shared" si="104"/>
        <v>1548515.6771532707</v>
      </c>
      <c r="S312" s="84">
        <f t="shared" si="105"/>
        <v>371380.18990984076</v>
      </c>
      <c r="T312" s="65">
        <v>0</v>
      </c>
    </row>
    <row r="313" spans="1:20" ht="31.5">
      <c r="A313" s="118">
        <f t="shared" si="106"/>
        <v>108</v>
      </c>
      <c r="B313" s="57" t="s">
        <v>368</v>
      </c>
      <c r="C313" s="71">
        <v>21</v>
      </c>
      <c r="D313" s="130">
        <v>38097</v>
      </c>
      <c r="E313" s="71" t="s">
        <v>299</v>
      </c>
      <c r="F313" s="71" t="s">
        <v>300</v>
      </c>
      <c r="G313" s="33">
        <v>6</v>
      </c>
      <c r="H313" s="33">
        <v>6</v>
      </c>
      <c r="I313" s="85">
        <v>125.6</v>
      </c>
      <c r="J313" s="33">
        <v>2</v>
      </c>
      <c r="K313" s="135">
        <v>2</v>
      </c>
      <c r="L313" s="84">
        <v>0</v>
      </c>
      <c r="M313" s="85">
        <v>125.6</v>
      </c>
      <c r="N313" s="85">
        <v>125.6</v>
      </c>
      <c r="O313" s="85">
        <v>0</v>
      </c>
      <c r="P313" s="65">
        <f t="shared" si="102"/>
        <v>4289240</v>
      </c>
      <c r="Q313" s="84">
        <f t="shared" si="103"/>
        <v>2043998.650808875</v>
      </c>
      <c r="R313" s="84">
        <f t="shared" si="104"/>
        <v>1810927.0861308267</v>
      </c>
      <c r="S313" s="84">
        <f t="shared" si="105"/>
        <v>434314.26306029793</v>
      </c>
      <c r="T313" s="65">
        <v>0</v>
      </c>
    </row>
    <row r="314" spans="1:20" ht="31.5">
      <c r="A314" s="118">
        <f t="shared" si="106"/>
        <v>109</v>
      </c>
      <c r="B314" s="57" t="s">
        <v>369</v>
      </c>
      <c r="C314" s="71">
        <v>16</v>
      </c>
      <c r="D314" s="130">
        <v>38097</v>
      </c>
      <c r="E314" s="71" t="s">
        <v>299</v>
      </c>
      <c r="F314" s="71" t="s">
        <v>300</v>
      </c>
      <c r="G314" s="33">
        <v>16</v>
      </c>
      <c r="H314" s="33">
        <v>16</v>
      </c>
      <c r="I314" s="85">
        <v>108</v>
      </c>
      <c r="J314" s="33">
        <v>4</v>
      </c>
      <c r="K314" s="135">
        <v>2</v>
      </c>
      <c r="L314" s="135">
        <v>2</v>
      </c>
      <c r="M314" s="85">
        <v>108</v>
      </c>
      <c r="N314" s="85">
        <v>54.5</v>
      </c>
      <c r="O314" s="85">
        <v>53.5</v>
      </c>
      <c r="P314" s="65">
        <f t="shared" si="102"/>
        <v>3688200</v>
      </c>
      <c r="Q314" s="84">
        <f t="shared" si="103"/>
        <v>1757578.4577018989</v>
      </c>
      <c r="R314" s="84">
        <f t="shared" si="104"/>
        <v>1557166.6027239594</v>
      </c>
      <c r="S314" s="84">
        <f t="shared" si="105"/>
        <v>373454.9395741415</v>
      </c>
      <c r="T314" s="65">
        <v>0</v>
      </c>
    </row>
    <row r="315" spans="1:20" ht="31.5">
      <c r="A315" s="118">
        <f t="shared" si="106"/>
        <v>110</v>
      </c>
      <c r="B315" s="57" t="s">
        <v>370</v>
      </c>
      <c r="C315" s="71">
        <v>17</v>
      </c>
      <c r="D315" s="130">
        <v>38097</v>
      </c>
      <c r="E315" s="71" t="s">
        <v>299</v>
      </c>
      <c r="F315" s="71" t="s">
        <v>300</v>
      </c>
      <c r="G315" s="33">
        <v>6</v>
      </c>
      <c r="H315" s="33">
        <v>6</v>
      </c>
      <c r="I315" s="85">
        <v>77.5</v>
      </c>
      <c r="J315" s="33">
        <v>4</v>
      </c>
      <c r="K315" s="135">
        <v>2</v>
      </c>
      <c r="L315" s="135">
        <v>2</v>
      </c>
      <c r="M315" s="85">
        <v>77.5</v>
      </c>
      <c r="N315" s="85">
        <v>11.8</v>
      </c>
      <c r="O315" s="85">
        <v>65.7</v>
      </c>
      <c r="P315" s="65">
        <f aca="true" t="shared" si="107" ref="P315:P361">M315*34150</f>
        <v>2646625</v>
      </c>
      <c r="Q315" s="84">
        <f aca="true" t="shared" si="108" ref="Q315:Q361">(203605700/12511.2*M315)</f>
        <v>1261225.282147196</v>
      </c>
      <c r="R315" s="84">
        <f aca="true" t="shared" si="109" ref="R315:R361">(180389100/12511.2*M315)</f>
        <v>1117411.2195472857</v>
      </c>
      <c r="S315" s="84">
        <f aca="true" t="shared" si="110" ref="S315:S361">(43262680/12511.2*M315)</f>
        <v>267988.49830551824</v>
      </c>
      <c r="T315" s="65">
        <v>0</v>
      </c>
    </row>
    <row r="316" spans="1:20" ht="31.5">
      <c r="A316" s="118">
        <f aca="true" t="shared" si="111" ref="A316:A361">A315+1</f>
        <v>111</v>
      </c>
      <c r="B316" s="57" t="s">
        <v>371</v>
      </c>
      <c r="C316" s="71">
        <v>211</v>
      </c>
      <c r="D316" s="130">
        <v>38251</v>
      </c>
      <c r="E316" s="71" t="s">
        <v>299</v>
      </c>
      <c r="F316" s="71" t="s">
        <v>300</v>
      </c>
      <c r="G316" s="33">
        <v>9</v>
      </c>
      <c r="H316" s="33">
        <v>9</v>
      </c>
      <c r="I316" s="85">
        <v>75.7</v>
      </c>
      <c r="J316" s="33">
        <v>3</v>
      </c>
      <c r="K316" s="84">
        <v>0</v>
      </c>
      <c r="L316" s="135">
        <v>3</v>
      </c>
      <c r="M316" s="85">
        <v>75.7</v>
      </c>
      <c r="N316" s="85">
        <v>0</v>
      </c>
      <c r="O316" s="85">
        <v>75.7</v>
      </c>
      <c r="P316" s="65">
        <f t="shared" si="107"/>
        <v>2585155</v>
      </c>
      <c r="Q316" s="84">
        <f t="shared" si="108"/>
        <v>1231932.3078521644</v>
      </c>
      <c r="R316" s="84">
        <f t="shared" si="109"/>
        <v>1091458.4428352197</v>
      </c>
      <c r="S316" s="84">
        <f t="shared" si="110"/>
        <v>261764.2493126159</v>
      </c>
      <c r="T316" s="65">
        <v>0</v>
      </c>
    </row>
    <row r="317" spans="1:20" ht="31.5">
      <c r="A317" s="118">
        <f t="shared" si="111"/>
        <v>112</v>
      </c>
      <c r="B317" s="57" t="s">
        <v>372</v>
      </c>
      <c r="C317" s="71">
        <v>212</v>
      </c>
      <c r="D317" s="130">
        <v>38251</v>
      </c>
      <c r="E317" s="71" t="s">
        <v>299</v>
      </c>
      <c r="F317" s="71" t="s">
        <v>300</v>
      </c>
      <c r="G317" s="33">
        <v>3</v>
      </c>
      <c r="H317" s="33">
        <v>3</v>
      </c>
      <c r="I317" s="85">
        <v>66.1</v>
      </c>
      <c r="J317" s="33">
        <v>2</v>
      </c>
      <c r="K317" s="84">
        <v>0</v>
      </c>
      <c r="L317" s="135">
        <v>2</v>
      </c>
      <c r="M317" s="85">
        <v>66.1</v>
      </c>
      <c r="N317" s="85">
        <v>0</v>
      </c>
      <c r="O317" s="85">
        <v>66.1</v>
      </c>
      <c r="P317" s="65">
        <f t="shared" si="107"/>
        <v>2257315</v>
      </c>
      <c r="Q317" s="84">
        <f t="shared" si="108"/>
        <v>1075703.1116119954</v>
      </c>
      <c r="R317" s="84">
        <f t="shared" si="109"/>
        <v>953043.633704201</v>
      </c>
      <c r="S317" s="84">
        <f t="shared" si="110"/>
        <v>228568.25468380327</v>
      </c>
      <c r="T317" s="65">
        <v>0</v>
      </c>
    </row>
    <row r="318" spans="1:20" ht="31.5">
      <c r="A318" s="118">
        <f t="shared" si="111"/>
        <v>113</v>
      </c>
      <c r="B318" s="57" t="s">
        <v>373</v>
      </c>
      <c r="C318" s="71">
        <v>213</v>
      </c>
      <c r="D318" s="130">
        <v>38251</v>
      </c>
      <c r="E318" s="71" t="s">
        <v>299</v>
      </c>
      <c r="F318" s="71" t="s">
        <v>300</v>
      </c>
      <c r="G318" s="33">
        <v>5</v>
      </c>
      <c r="H318" s="33">
        <v>5</v>
      </c>
      <c r="I318" s="85">
        <v>100.2</v>
      </c>
      <c r="J318" s="33">
        <v>2</v>
      </c>
      <c r="K318" s="84">
        <v>0</v>
      </c>
      <c r="L318" s="135">
        <v>2</v>
      </c>
      <c r="M318" s="85">
        <v>100.2</v>
      </c>
      <c r="N318" s="85">
        <v>0</v>
      </c>
      <c r="O318" s="85">
        <v>100.2</v>
      </c>
      <c r="P318" s="65">
        <f t="shared" si="107"/>
        <v>3421830</v>
      </c>
      <c r="Q318" s="84">
        <f t="shared" si="108"/>
        <v>1630642.2357567619</v>
      </c>
      <c r="R318" s="84">
        <f t="shared" si="109"/>
        <v>1444704.5703050068</v>
      </c>
      <c r="S318" s="84">
        <f t="shared" si="110"/>
        <v>346483.1939382313</v>
      </c>
      <c r="T318" s="65">
        <v>0</v>
      </c>
    </row>
    <row r="319" spans="1:20" ht="31.5">
      <c r="A319" s="118">
        <f t="shared" si="111"/>
        <v>114</v>
      </c>
      <c r="B319" s="57" t="s">
        <v>374</v>
      </c>
      <c r="C319" s="71">
        <v>215</v>
      </c>
      <c r="D319" s="130">
        <v>38251</v>
      </c>
      <c r="E319" s="71" t="s">
        <v>299</v>
      </c>
      <c r="F319" s="71" t="s">
        <v>300</v>
      </c>
      <c r="G319" s="33">
        <v>2</v>
      </c>
      <c r="H319" s="33">
        <v>2</v>
      </c>
      <c r="I319" s="85">
        <v>62.4</v>
      </c>
      <c r="J319" s="33">
        <v>2</v>
      </c>
      <c r="K319" s="135">
        <v>1</v>
      </c>
      <c r="L319" s="135">
        <v>1</v>
      </c>
      <c r="M319" s="85">
        <v>62.4</v>
      </c>
      <c r="N319" s="85">
        <v>31.9</v>
      </c>
      <c r="O319" s="85">
        <v>30.5</v>
      </c>
      <c r="P319" s="65">
        <f t="shared" si="107"/>
        <v>2130960</v>
      </c>
      <c r="Q319" s="84">
        <f t="shared" si="108"/>
        <v>1015489.7755610971</v>
      </c>
      <c r="R319" s="84">
        <f t="shared" si="109"/>
        <v>899696.2593516209</v>
      </c>
      <c r="S319" s="84">
        <f t="shared" si="110"/>
        <v>215773.96508728177</v>
      </c>
      <c r="T319" s="65">
        <v>0</v>
      </c>
    </row>
    <row r="320" spans="1:20" ht="31.5">
      <c r="A320" s="118">
        <f t="shared" si="111"/>
        <v>115</v>
      </c>
      <c r="B320" s="57" t="s">
        <v>375</v>
      </c>
      <c r="C320" s="71">
        <v>236</v>
      </c>
      <c r="D320" s="130">
        <v>38279</v>
      </c>
      <c r="E320" s="71" t="s">
        <v>299</v>
      </c>
      <c r="F320" s="71" t="s">
        <v>300</v>
      </c>
      <c r="G320" s="33">
        <v>11</v>
      </c>
      <c r="H320" s="33">
        <v>11</v>
      </c>
      <c r="I320" s="85">
        <v>171.6</v>
      </c>
      <c r="J320" s="33">
        <v>6</v>
      </c>
      <c r="K320" s="135">
        <v>4</v>
      </c>
      <c r="L320" s="135">
        <v>2</v>
      </c>
      <c r="M320" s="85">
        <v>171.6</v>
      </c>
      <c r="N320" s="85">
        <v>112.6</v>
      </c>
      <c r="O320" s="85">
        <v>59</v>
      </c>
      <c r="P320" s="65">
        <f t="shared" si="107"/>
        <v>5860140</v>
      </c>
      <c r="Q320" s="84">
        <f t="shared" si="108"/>
        <v>2792596.882793017</v>
      </c>
      <c r="R320" s="84">
        <f t="shared" si="109"/>
        <v>2474164.7132169576</v>
      </c>
      <c r="S320" s="84">
        <f t="shared" si="110"/>
        <v>593378.4039900249</v>
      </c>
      <c r="T320" s="65">
        <v>0</v>
      </c>
    </row>
    <row r="321" spans="1:20" ht="31.5">
      <c r="A321" s="118">
        <f t="shared" si="111"/>
        <v>116</v>
      </c>
      <c r="B321" s="57" t="s">
        <v>376</v>
      </c>
      <c r="C321" s="71">
        <v>238</v>
      </c>
      <c r="D321" s="130">
        <v>38279</v>
      </c>
      <c r="E321" s="71" t="s">
        <v>299</v>
      </c>
      <c r="F321" s="71" t="s">
        <v>300</v>
      </c>
      <c r="G321" s="33">
        <v>2</v>
      </c>
      <c r="H321" s="33">
        <v>2</v>
      </c>
      <c r="I321" s="85">
        <v>58</v>
      </c>
      <c r="J321" s="33">
        <v>2</v>
      </c>
      <c r="K321" s="135">
        <v>2</v>
      </c>
      <c r="L321" s="84">
        <v>0</v>
      </c>
      <c r="M321" s="85">
        <v>58</v>
      </c>
      <c r="N321" s="85">
        <v>58</v>
      </c>
      <c r="O321" s="85">
        <v>0</v>
      </c>
      <c r="P321" s="65">
        <f t="shared" si="107"/>
        <v>1980700</v>
      </c>
      <c r="Q321" s="84">
        <f t="shared" si="108"/>
        <v>943884.7272843531</v>
      </c>
      <c r="R321" s="84">
        <f t="shared" si="109"/>
        <v>836256.1384999041</v>
      </c>
      <c r="S321" s="84">
        <f t="shared" si="110"/>
        <v>200559.1342157427</v>
      </c>
      <c r="T321" s="65">
        <v>0</v>
      </c>
    </row>
    <row r="322" spans="1:20" ht="31.5">
      <c r="A322" s="118">
        <f t="shared" si="111"/>
        <v>117</v>
      </c>
      <c r="B322" s="57" t="s">
        <v>377</v>
      </c>
      <c r="C322" s="71">
        <v>239</v>
      </c>
      <c r="D322" s="130">
        <v>38279</v>
      </c>
      <c r="E322" s="71" t="s">
        <v>299</v>
      </c>
      <c r="F322" s="71" t="s">
        <v>300</v>
      </c>
      <c r="G322" s="33">
        <v>5</v>
      </c>
      <c r="H322" s="33">
        <v>5</v>
      </c>
      <c r="I322" s="85">
        <v>85.5</v>
      </c>
      <c r="J322" s="33">
        <v>2</v>
      </c>
      <c r="K322" s="135">
        <v>1</v>
      </c>
      <c r="L322" s="135">
        <v>1</v>
      </c>
      <c r="M322" s="85">
        <v>85.5</v>
      </c>
      <c r="N322" s="85">
        <v>43.3</v>
      </c>
      <c r="O322" s="85">
        <v>42.2</v>
      </c>
      <c r="P322" s="65">
        <f t="shared" si="107"/>
        <v>2919825</v>
      </c>
      <c r="Q322" s="84">
        <f t="shared" si="108"/>
        <v>1391416.2790140032</v>
      </c>
      <c r="R322" s="84">
        <f t="shared" si="109"/>
        <v>1232756.8938231345</v>
      </c>
      <c r="S322" s="84">
        <f t="shared" si="110"/>
        <v>295651.82716286206</v>
      </c>
      <c r="T322" s="65">
        <v>0</v>
      </c>
    </row>
    <row r="323" spans="1:20" ht="31.5">
      <c r="A323" s="118">
        <f t="shared" si="111"/>
        <v>118</v>
      </c>
      <c r="B323" s="57" t="s">
        <v>378</v>
      </c>
      <c r="C323" s="71">
        <v>240</v>
      </c>
      <c r="D323" s="130">
        <v>38279</v>
      </c>
      <c r="E323" s="71" t="s">
        <v>299</v>
      </c>
      <c r="F323" s="71" t="s">
        <v>300</v>
      </c>
      <c r="G323" s="33">
        <v>2</v>
      </c>
      <c r="H323" s="33">
        <v>2</v>
      </c>
      <c r="I323" s="85">
        <v>84.9</v>
      </c>
      <c r="J323" s="33">
        <v>2</v>
      </c>
      <c r="K323" s="135">
        <v>2</v>
      </c>
      <c r="L323" s="84">
        <v>0</v>
      </c>
      <c r="M323" s="85">
        <v>84.9</v>
      </c>
      <c r="N323" s="85">
        <v>84.9</v>
      </c>
      <c r="O323" s="85">
        <v>0</v>
      </c>
      <c r="P323" s="65">
        <f t="shared" si="107"/>
        <v>2899335</v>
      </c>
      <c r="Q323" s="84">
        <f t="shared" si="108"/>
        <v>1381651.954248993</v>
      </c>
      <c r="R323" s="84">
        <f t="shared" si="109"/>
        <v>1224105.9682524458</v>
      </c>
      <c r="S323" s="84">
        <f t="shared" si="110"/>
        <v>293577.0774985613</v>
      </c>
      <c r="T323" s="65">
        <v>0</v>
      </c>
    </row>
    <row r="324" spans="1:20" ht="31.5">
      <c r="A324" s="118">
        <f t="shared" si="111"/>
        <v>119</v>
      </c>
      <c r="B324" s="57" t="s">
        <v>379</v>
      </c>
      <c r="C324" s="71">
        <v>241</v>
      </c>
      <c r="D324" s="130">
        <v>38279</v>
      </c>
      <c r="E324" s="71" t="s">
        <v>299</v>
      </c>
      <c r="F324" s="71" t="s">
        <v>300</v>
      </c>
      <c r="G324" s="33">
        <v>2</v>
      </c>
      <c r="H324" s="33">
        <v>2</v>
      </c>
      <c r="I324" s="85">
        <v>87.7</v>
      </c>
      <c r="J324" s="33">
        <v>2</v>
      </c>
      <c r="K324" s="135">
        <v>2</v>
      </c>
      <c r="L324" s="84">
        <v>0</v>
      </c>
      <c r="M324" s="85">
        <v>87.7</v>
      </c>
      <c r="N324" s="85">
        <v>87.7</v>
      </c>
      <c r="O324" s="85">
        <v>0</v>
      </c>
      <c r="P324" s="65">
        <f t="shared" si="107"/>
        <v>2994955</v>
      </c>
      <c r="Q324" s="84">
        <f t="shared" si="108"/>
        <v>1427218.8031523754</v>
      </c>
      <c r="R324" s="84">
        <f t="shared" si="109"/>
        <v>1264476.954248993</v>
      </c>
      <c r="S324" s="84">
        <f t="shared" si="110"/>
        <v>303259.2425986316</v>
      </c>
      <c r="T324" s="65">
        <v>0</v>
      </c>
    </row>
    <row r="325" spans="1:20" ht="31.5">
      <c r="A325" s="118">
        <f t="shared" si="111"/>
        <v>120</v>
      </c>
      <c r="B325" s="57" t="s">
        <v>380</v>
      </c>
      <c r="C325" s="71">
        <v>42</v>
      </c>
      <c r="D325" s="130">
        <v>38279</v>
      </c>
      <c r="E325" s="71" t="s">
        <v>299</v>
      </c>
      <c r="F325" s="71" t="s">
        <v>300</v>
      </c>
      <c r="G325" s="33">
        <v>7</v>
      </c>
      <c r="H325" s="33">
        <v>7</v>
      </c>
      <c r="I325" s="85">
        <v>88.4</v>
      </c>
      <c r="J325" s="33">
        <v>2</v>
      </c>
      <c r="K325" s="135">
        <v>2</v>
      </c>
      <c r="L325" s="84">
        <v>0</v>
      </c>
      <c r="M325" s="85">
        <v>88.4</v>
      </c>
      <c r="N325" s="85">
        <v>88.4</v>
      </c>
      <c r="O325" s="85">
        <v>0</v>
      </c>
      <c r="P325" s="65">
        <f t="shared" si="107"/>
        <v>3018860</v>
      </c>
      <c r="Q325" s="84">
        <f t="shared" si="108"/>
        <v>1438610.5153782212</v>
      </c>
      <c r="R325" s="84">
        <f t="shared" si="109"/>
        <v>1274569.7007481297</v>
      </c>
      <c r="S325" s="84">
        <f t="shared" si="110"/>
        <v>305679.7838736492</v>
      </c>
      <c r="T325" s="65">
        <v>0</v>
      </c>
    </row>
    <row r="326" spans="1:20" ht="31.5">
      <c r="A326" s="118">
        <f t="shared" si="111"/>
        <v>121</v>
      </c>
      <c r="B326" s="57" t="s">
        <v>381</v>
      </c>
      <c r="C326" s="71">
        <v>243</v>
      </c>
      <c r="D326" s="130">
        <v>38279</v>
      </c>
      <c r="E326" s="71" t="s">
        <v>299</v>
      </c>
      <c r="F326" s="71" t="s">
        <v>300</v>
      </c>
      <c r="G326" s="33">
        <v>14</v>
      </c>
      <c r="H326" s="33">
        <v>14</v>
      </c>
      <c r="I326" s="85">
        <v>135.5</v>
      </c>
      <c r="J326" s="33">
        <v>4</v>
      </c>
      <c r="K326" s="135">
        <v>1</v>
      </c>
      <c r="L326" s="135">
        <v>3</v>
      </c>
      <c r="M326" s="85">
        <v>135.5</v>
      </c>
      <c r="N326" s="85">
        <v>33.9</v>
      </c>
      <c r="O326" s="85">
        <v>101.6</v>
      </c>
      <c r="P326" s="65">
        <f t="shared" si="107"/>
        <v>4627325</v>
      </c>
      <c r="Q326" s="84">
        <f t="shared" si="108"/>
        <v>2205110.009431549</v>
      </c>
      <c r="R326" s="84">
        <f t="shared" si="109"/>
        <v>1953667.3580471897</v>
      </c>
      <c r="S326" s="84">
        <f t="shared" si="110"/>
        <v>468547.63252126094</v>
      </c>
      <c r="T326" s="65">
        <v>0</v>
      </c>
    </row>
    <row r="327" spans="1:20" ht="31.5">
      <c r="A327" s="118">
        <f t="shared" si="111"/>
        <v>122</v>
      </c>
      <c r="B327" s="57" t="s">
        <v>382</v>
      </c>
      <c r="C327" s="71">
        <v>244</v>
      </c>
      <c r="D327" s="130">
        <v>38279</v>
      </c>
      <c r="E327" s="71" t="s">
        <v>299</v>
      </c>
      <c r="F327" s="71" t="s">
        <v>300</v>
      </c>
      <c r="G327" s="33">
        <v>17</v>
      </c>
      <c r="H327" s="33">
        <v>17</v>
      </c>
      <c r="I327" s="85">
        <v>248.3</v>
      </c>
      <c r="J327" s="33">
        <v>8</v>
      </c>
      <c r="K327" s="135">
        <v>6</v>
      </c>
      <c r="L327" s="135">
        <v>2</v>
      </c>
      <c r="M327" s="85">
        <v>248.3</v>
      </c>
      <c r="N327" s="85">
        <v>198.7</v>
      </c>
      <c r="O327" s="85">
        <v>49.6</v>
      </c>
      <c r="P327" s="65">
        <f t="shared" si="107"/>
        <v>8479445</v>
      </c>
      <c r="Q327" s="84">
        <f t="shared" si="108"/>
        <v>4040803.0652535325</v>
      </c>
      <c r="R327" s="84">
        <f t="shared" si="109"/>
        <v>3580041.3653366584</v>
      </c>
      <c r="S327" s="84">
        <f t="shared" si="110"/>
        <v>858600.5694098088</v>
      </c>
      <c r="T327" s="65">
        <v>0</v>
      </c>
    </row>
    <row r="328" spans="1:20" ht="31.5">
      <c r="A328" s="118">
        <f t="shared" si="111"/>
        <v>123</v>
      </c>
      <c r="B328" s="57" t="s">
        <v>383</v>
      </c>
      <c r="C328" s="71">
        <v>245</v>
      </c>
      <c r="D328" s="130">
        <v>38279</v>
      </c>
      <c r="E328" s="71" t="s">
        <v>299</v>
      </c>
      <c r="F328" s="71" t="s">
        <v>300</v>
      </c>
      <c r="G328" s="33">
        <v>11</v>
      </c>
      <c r="H328" s="33">
        <v>11</v>
      </c>
      <c r="I328" s="85">
        <v>159.1</v>
      </c>
      <c r="J328" s="33">
        <v>4</v>
      </c>
      <c r="K328" s="135">
        <v>4</v>
      </c>
      <c r="L328" s="84">
        <v>0</v>
      </c>
      <c r="M328" s="85">
        <v>159.1</v>
      </c>
      <c r="N328" s="85">
        <v>159.1</v>
      </c>
      <c r="O328" s="85">
        <v>0</v>
      </c>
      <c r="P328" s="65">
        <f t="shared" si="107"/>
        <v>5433265</v>
      </c>
      <c r="Q328" s="84">
        <f t="shared" si="108"/>
        <v>2589173.4501886307</v>
      </c>
      <c r="R328" s="84">
        <f t="shared" si="109"/>
        <v>2293937.097160944</v>
      </c>
      <c r="S328" s="84">
        <f t="shared" si="110"/>
        <v>550154.4526504251</v>
      </c>
      <c r="T328" s="65">
        <v>0</v>
      </c>
    </row>
    <row r="329" spans="1:20" ht="31.5">
      <c r="A329" s="118">
        <f t="shared" si="111"/>
        <v>124</v>
      </c>
      <c r="B329" s="57" t="s">
        <v>384</v>
      </c>
      <c r="C329" s="71">
        <v>246</v>
      </c>
      <c r="D329" s="130">
        <v>38279</v>
      </c>
      <c r="E329" s="71" t="s">
        <v>299</v>
      </c>
      <c r="F329" s="71" t="s">
        <v>300</v>
      </c>
      <c r="G329" s="33">
        <v>16</v>
      </c>
      <c r="H329" s="33">
        <v>16</v>
      </c>
      <c r="I329" s="85">
        <v>208.8</v>
      </c>
      <c r="J329" s="33">
        <v>8</v>
      </c>
      <c r="K329" s="135">
        <v>5</v>
      </c>
      <c r="L329" s="135">
        <v>3</v>
      </c>
      <c r="M329" s="85">
        <v>208.8</v>
      </c>
      <c r="N329" s="85">
        <v>130.1</v>
      </c>
      <c r="O329" s="85">
        <v>78.7</v>
      </c>
      <c r="P329" s="65">
        <f t="shared" si="107"/>
        <v>7130520</v>
      </c>
      <c r="Q329" s="84">
        <f t="shared" si="108"/>
        <v>3397985.0182236712</v>
      </c>
      <c r="R329" s="84">
        <f t="shared" si="109"/>
        <v>3010522.098599655</v>
      </c>
      <c r="S329" s="84">
        <f t="shared" si="110"/>
        <v>722012.8831766737</v>
      </c>
      <c r="T329" s="65">
        <v>0</v>
      </c>
    </row>
    <row r="330" spans="1:20" ht="31.5">
      <c r="A330" s="118">
        <f t="shared" si="111"/>
        <v>125</v>
      </c>
      <c r="B330" s="57" t="s">
        <v>385</v>
      </c>
      <c r="C330" s="71">
        <v>248</v>
      </c>
      <c r="D330" s="130">
        <v>38279</v>
      </c>
      <c r="E330" s="71" t="s">
        <v>299</v>
      </c>
      <c r="F330" s="71" t="s">
        <v>300</v>
      </c>
      <c r="G330" s="33">
        <v>10</v>
      </c>
      <c r="H330" s="33">
        <v>10</v>
      </c>
      <c r="I330" s="85">
        <v>123.8</v>
      </c>
      <c r="J330" s="33">
        <v>4</v>
      </c>
      <c r="K330" s="135">
        <v>3</v>
      </c>
      <c r="L330" s="135">
        <v>1</v>
      </c>
      <c r="M330" s="85">
        <v>123.8</v>
      </c>
      <c r="N330" s="85">
        <v>92.7</v>
      </c>
      <c r="O330" s="85">
        <v>31.1</v>
      </c>
      <c r="P330" s="65">
        <f t="shared" si="107"/>
        <v>4227770</v>
      </c>
      <c r="Q330" s="84">
        <f t="shared" si="108"/>
        <v>2014705.6765138432</v>
      </c>
      <c r="R330" s="84">
        <f t="shared" si="109"/>
        <v>1784974.3094187607</v>
      </c>
      <c r="S330" s="84">
        <f t="shared" si="110"/>
        <v>428090.0140673956</v>
      </c>
      <c r="T330" s="65">
        <v>0</v>
      </c>
    </row>
    <row r="331" spans="1:20" ht="31.5">
      <c r="A331" s="118">
        <f t="shared" si="111"/>
        <v>126</v>
      </c>
      <c r="B331" s="57" t="s">
        <v>386</v>
      </c>
      <c r="C331" s="71">
        <v>249</v>
      </c>
      <c r="D331" s="130">
        <v>38279</v>
      </c>
      <c r="E331" s="71" t="s">
        <v>299</v>
      </c>
      <c r="F331" s="71" t="s">
        <v>300</v>
      </c>
      <c r="G331" s="33">
        <v>2</v>
      </c>
      <c r="H331" s="33">
        <v>2</v>
      </c>
      <c r="I331" s="85">
        <v>99.3</v>
      </c>
      <c r="J331" s="33">
        <v>2</v>
      </c>
      <c r="K331" s="135">
        <v>2</v>
      </c>
      <c r="L331" s="84">
        <v>0</v>
      </c>
      <c r="M331" s="85">
        <v>99.3</v>
      </c>
      <c r="N331" s="85">
        <v>99.3</v>
      </c>
      <c r="O331" s="85">
        <v>0</v>
      </c>
      <c r="P331" s="65">
        <f t="shared" si="107"/>
        <v>3391095</v>
      </c>
      <c r="Q331" s="84">
        <f t="shared" si="108"/>
        <v>1615995.748609246</v>
      </c>
      <c r="R331" s="84">
        <f t="shared" si="109"/>
        <v>1431728.1819489738</v>
      </c>
      <c r="S331" s="84">
        <f t="shared" si="110"/>
        <v>343371.06944178016</v>
      </c>
      <c r="T331" s="65">
        <v>0</v>
      </c>
    </row>
    <row r="332" spans="1:20" ht="31.5">
      <c r="A332" s="118">
        <f t="shared" si="111"/>
        <v>127</v>
      </c>
      <c r="B332" s="57" t="s">
        <v>387</v>
      </c>
      <c r="C332" s="71">
        <v>78</v>
      </c>
      <c r="D332" s="130">
        <v>38154</v>
      </c>
      <c r="E332" s="71" t="s">
        <v>299</v>
      </c>
      <c r="F332" s="71" t="s">
        <v>300</v>
      </c>
      <c r="G332" s="33">
        <v>8</v>
      </c>
      <c r="H332" s="33">
        <v>8</v>
      </c>
      <c r="I332" s="85">
        <v>126.7</v>
      </c>
      <c r="J332" s="33">
        <v>2</v>
      </c>
      <c r="K332" s="135">
        <v>1</v>
      </c>
      <c r="L332" s="135">
        <v>1</v>
      </c>
      <c r="M332" s="85">
        <v>126.7</v>
      </c>
      <c r="N332" s="85">
        <v>63.8</v>
      </c>
      <c r="O332" s="85">
        <v>62.9</v>
      </c>
      <c r="P332" s="65">
        <f t="shared" si="107"/>
        <v>4326805</v>
      </c>
      <c r="Q332" s="84">
        <f t="shared" si="108"/>
        <v>2061899.9128780612</v>
      </c>
      <c r="R332" s="84">
        <f t="shared" si="109"/>
        <v>1826787.116343756</v>
      </c>
      <c r="S332" s="84">
        <f t="shared" si="110"/>
        <v>438117.97077818273</v>
      </c>
      <c r="T332" s="65">
        <v>0</v>
      </c>
    </row>
    <row r="333" spans="1:20" ht="31.5">
      <c r="A333" s="118">
        <f t="shared" si="111"/>
        <v>128</v>
      </c>
      <c r="B333" s="57" t="s">
        <v>388</v>
      </c>
      <c r="C333" s="71">
        <v>79</v>
      </c>
      <c r="D333" s="130">
        <v>38154</v>
      </c>
      <c r="E333" s="71" t="s">
        <v>299</v>
      </c>
      <c r="F333" s="71" t="s">
        <v>300</v>
      </c>
      <c r="G333" s="33">
        <v>5</v>
      </c>
      <c r="H333" s="33">
        <v>5</v>
      </c>
      <c r="I333" s="85">
        <v>86.4</v>
      </c>
      <c r="J333" s="33">
        <v>4</v>
      </c>
      <c r="K333" s="135">
        <v>3</v>
      </c>
      <c r="L333" s="135">
        <v>1</v>
      </c>
      <c r="M333" s="85">
        <v>86.4</v>
      </c>
      <c r="N333" s="85">
        <v>64.8</v>
      </c>
      <c r="O333" s="85">
        <v>21.6</v>
      </c>
      <c r="P333" s="65">
        <f t="shared" si="107"/>
        <v>2950560</v>
      </c>
      <c r="Q333" s="84">
        <f t="shared" si="108"/>
        <v>1406062.7661615193</v>
      </c>
      <c r="R333" s="84">
        <f t="shared" si="109"/>
        <v>1245733.2821791675</v>
      </c>
      <c r="S333" s="84">
        <f t="shared" si="110"/>
        <v>298763.9516593133</v>
      </c>
      <c r="T333" s="65">
        <v>0</v>
      </c>
    </row>
    <row r="334" spans="1:20" ht="31.5">
      <c r="A334" s="118">
        <f t="shared" si="111"/>
        <v>129</v>
      </c>
      <c r="B334" s="57" t="s">
        <v>389</v>
      </c>
      <c r="C334" s="71">
        <v>80</v>
      </c>
      <c r="D334" s="130">
        <v>38154</v>
      </c>
      <c r="E334" s="71" t="s">
        <v>299</v>
      </c>
      <c r="F334" s="71" t="s">
        <v>300</v>
      </c>
      <c r="G334" s="33">
        <v>9</v>
      </c>
      <c r="H334" s="33">
        <v>9</v>
      </c>
      <c r="I334" s="85">
        <v>127.3</v>
      </c>
      <c r="J334" s="33">
        <v>2</v>
      </c>
      <c r="K334" s="135">
        <v>1</v>
      </c>
      <c r="L334" s="135">
        <v>1</v>
      </c>
      <c r="M334" s="85">
        <v>127.3</v>
      </c>
      <c r="N334" s="85">
        <v>63.9</v>
      </c>
      <c r="O334" s="85">
        <v>63.4</v>
      </c>
      <c r="P334" s="65">
        <f t="shared" si="107"/>
        <v>4347295</v>
      </c>
      <c r="Q334" s="84">
        <f t="shared" si="108"/>
        <v>2071664.2376430715</v>
      </c>
      <c r="R334" s="84">
        <f t="shared" si="109"/>
        <v>1835438.0419144446</v>
      </c>
      <c r="S334" s="84">
        <f t="shared" si="110"/>
        <v>440192.7204424835</v>
      </c>
      <c r="T334" s="65">
        <v>0</v>
      </c>
    </row>
    <row r="335" spans="1:20" ht="31.5">
      <c r="A335" s="118">
        <f t="shared" si="111"/>
        <v>130</v>
      </c>
      <c r="B335" s="57" t="s">
        <v>390</v>
      </c>
      <c r="C335" s="71">
        <v>84</v>
      </c>
      <c r="D335" s="130">
        <v>38154</v>
      </c>
      <c r="E335" s="71" t="s">
        <v>299</v>
      </c>
      <c r="F335" s="71" t="s">
        <v>300</v>
      </c>
      <c r="G335" s="33">
        <v>4</v>
      </c>
      <c r="H335" s="33">
        <v>4</v>
      </c>
      <c r="I335" s="85">
        <v>122.8</v>
      </c>
      <c r="J335" s="33">
        <v>2</v>
      </c>
      <c r="K335" s="135">
        <v>1</v>
      </c>
      <c r="L335" s="135">
        <v>1</v>
      </c>
      <c r="M335" s="85">
        <v>122.8</v>
      </c>
      <c r="N335" s="85">
        <v>61.2</v>
      </c>
      <c r="O335" s="85">
        <v>61.6</v>
      </c>
      <c r="P335" s="65">
        <f t="shared" si="107"/>
        <v>4193620</v>
      </c>
      <c r="Q335" s="84">
        <f t="shared" si="108"/>
        <v>1998431.8019054923</v>
      </c>
      <c r="R335" s="84">
        <f t="shared" si="109"/>
        <v>1770556.1001342796</v>
      </c>
      <c r="S335" s="84">
        <f t="shared" si="110"/>
        <v>424632.0979602276</v>
      </c>
      <c r="T335" s="65">
        <v>0</v>
      </c>
    </row>
    <row r="336" spans="1:20" ht="31.5">
      <c r="A336" s="118">
        <f t="shared" si="111"/>
        <v>131</v>
      </c>
      <c r="B336" s="57" t="s">
        <v>391</v>
      </c>
      <c r="C336" s="71">
        <v>88</v>
      </c>
      <c r="D336" s="130">
        <v>38154</v>
      </c>
      <c r="E336" s="71" t="s">
        <v>299</v>
      </c>
      <c r="F336" s="71" t="s">
        <v>300</v>
      </c>
      <c r="G336" s="33">
        <v>5</v>
      </c>
      <c r="H336" s="33">
        <v>5</v>
      </c>
      <c r="I336" s="85">
        <v>89.1</v>
      </c>
      <c r="J336" s="33">
        <v>3</v>
      </c>
      <c r="K336" s="135">
        <v>1</v>
      </c>
      <c r="L336" s="135">
        <v>2</v>
      </c>
      <c r="M336" s="85">
        <v>89.1</v>
      </c>
      <c r="N336" s="85">
        <v>22.6</v>
      </c>
      <c r="O336" s="85">
        <v>66.5</v>
      </c>
      <c r="P336" s="65">
        <f t="shared" si="107"/>
        <v>3042765</v>
      </c>
      <c r="Q336" s="84">
        <f t="shared" si="108"/>
        <v>1450002.2276040665</v>
      </c>
      <c r="R336" s="84">
        <f t="shared" si="109"/>
        <v>1284662.4472472663</v>
      </c>
      <c r="S336" s="84">
        <f t="shared" si="110"/>
        <v>308100.32514866674</v>
      </c>
      <c r="T336" s="65">
        <v>0</v>
      </c>
    </row>
    <row r="337" spans="1:20" ht="31.5">
      <c r="A337" s="118">
        <f t="shared" si="111"/>
        <v>132</v>
      </c>
      <c r="B337" s="57" t="s">
        <v>392</v>
      </c>
      <c r="C337" s="71">
        <v>89</v>
      </c>
      <c r="D337" s="130">
        <v>38154</v>
      </c>
      <c r="E337" s="71" t="s">
        <v>299</v>
      </c>
      <c r="F337" s="71" t="s">
        <v>300</v>
      </c>
      <c r="G337" s="33">
        <v>6</v>
      </c>
      <c r="H337" s="33">
        <v>6</v>
      </c>
      <c r="I337" s="85">
        <v>114</v>
      </c>
      <c r="J337" s="33">
        <v>4</v>
      </c>
      <c r="K337" s="135">
        <v>4</v>
      </c>
      <c r="L337" s="84">
        <v>0</v>
      </c>
      <c r="M337" s="85">
        <v>114</v>
      </c>
      <c r="N337" s="85">
        <v>114</v>
      </c>
      <c r="O337" s="85">
        <v>0</v>
      </c>
      <c r="P337" s="65">
        <f t="shared" si="107"/>
        <v>3893100</v>
      </c>
      <c r="Q337" s="84">
        <f t="shared" si="108"/>
        <v>1855221.7053520044</v>
      </c>
      <c r="R337" s="84">
        <f t="shared" si="109"/>
        <v>1643675.858430846</v>
      </c>
      <c r="S337" s="84">
        <f t="shared" si="110"/>
        <v>394202.4362171494</v>
      </c>
      <c r="T337" s="65">
        <v>0</v>
      </c>
    </row>
    <row r="338" spans="1:20" ht="31.5">
      <c r="A338" s="118">
        <f t="shared" si="111"/>
        <v>133</v>
      </c>
      <c r="B338" s="57" t="s">
        <v>393</v>
      </c>
      <c r="C338" s="71">
        <v>91</v>
      </c>
      <c r="D338" s="130">
        <v>38154</v>
      </c>
      <c r="E338" s="71" t="s">
        <v>299</v>
      </c>
      <c r="F338" s="71" t="s">
        <v>300</v>
      </c>
      <c r="G338" s="33">
        <v>11</v>
      </c>
      <c r="H338" s="33">
        <v>11</v>
      </c>
      <c r="I338" s="85">
        <v>98.3</v>
      </c>
      <c r="J338" s="33">
        <v>4</v>
      </c>
      <c r="K338" s="135">
        <v>2</v>
      </c>
      <c r="L338" s="135">
        <v>2</v>
      </c>
      <c r="M338" s="85">
        <v>98.3</v>
      </c>
      <c r="N338" s="85">
        <v>55.8</v>
      </c>
      <c r="O338" s="85">
        <v>42.5</v>
      </c>
      <c r="P338" s="65">
        <f t="shared" si="107"/>
        <v>3356945</v>
      </c>
      <c r="Q338" s="84">
        <f t="shared" si="108"/>
        <v>1599721.874000895</v>
      </c>
      <c r="R338" s="84">
        <f t="shared" si="109"/>
        <v>1417309.9726644927</v>
      </c>
      <c r="S338" s="84">
        <f t="shared" si="110"/>
        <v>339913.15333461214</v>
      </c>
      <c r="T338" s="65">
        <v>0</v>
      </c>
    </row>
    <row r="339" spans="1:20" ht="31.5">
      <c r="A339" s="118">
        <f t="shared" si="111"/>
        <v>134</v>
      </c>
      <c r="B339" s="57" t="s">
        <v>394</v>
      </c>
      <c r="C339" s="71">
        <v>92</v>
      </c>
      <c r="D339" s="130">
        <v>38154</v>
      </c>
      <c r="E339" s="71" t="s">
        <v>299</v>
      </c>
      <c r="F339" s="71" t="s">
        <v>300</v>
      </c>
      <c r="G339" s="33">
        <v>8</v>
      </c>
      <c r="H339" s="33">
        <v>8</v>
      </c>
      <c r="I339" s="85">
        <v>87.5</v>
      </c>
      <c r="J339" s="33">
        <v>2</v>
      </c>
      <c r="K339" s="135">
        <v>2</v>
      </c>
      <c r="L339" s="84">
        <v>0</v>
      </c>
      <c r="M339" s="85">
        <v>87.5</v>
      </c>
      <c r="N339" s="85">
        <v>87.5</v>
      </c>
      <c r="O339" s="85">
        <v>0</v>
      </c>
      <c r="P339" s="65">
        <f t="shared" si="107"/>
        <v>2988125</v>
      </c>
      <c r="Q339" s="84">
        <f t="shared" si="108"/>
        <v>1423964.028230705</v>
      </c>
      <c r="R339" s="84">
        <f t="shared" si="109"/>
        <v>1261593.3123920967</v>
      </c>
      <c r="S339" s="84">
        <f t="shared" si="110"/>
        <v>302567.659377198</v>
      </c>
      <c r="T339" s="65">
        <v>0</v>
      </c>
    </row>
    <row r="340" spans="1:20" ht="31.5">
      <c r="A340" s="118">
        <f t="shared" si="111"/>
        <v>135</v>
      </c>
      <c r="B340" s="57" t="s">
        <v>306</v>
      </c>
      <c r="C340" s="71">
        <v>251</v>
      </c>
      <c r="D340" s="130">
        <v>38279</v>
      </c>
      <c r="E340" s="71" t="s">
        <v>299</v>
      </c>
      <c r="F340" s="71" t="s">
        <v>300</v>
      </c>
      <c r="G340" s="33">
        <v>5</v>
      </c>
      <c r="H340" s="33">
        <v>5</v>
      </c>
      <c r="I340" s="85">
        <v>80.1</v>
      </c>
      <c r="J340" s="33">
        <v>2</v>
      </c>
      <c r="K340" s="135">
        <v>2</v>
      </c>
      <c r="L340" s="84">
        <v>0</v>
      </c>
      <c r="M340" s="85">
        <v>80.1</v>
      </c>
      <c r="N340" s="85">
        <v>80.1</v>
      </c>
      <c r="O340" s="85">
        <v>0</v>
      </c>
      <c r="P340" s="65">
        <f t="shared" si="107"/>
        <v>2735415</v>
      </c>
      <c r="Q340" s="84">
        <f t="shared" si="108"/>
        <v>1303537.3561289082</v>
      </c>
      <c r="R340" s="84">
        <f t="shared" si="109"/>
        <v>1154898.5636869364</v>
      </c>
      <c r="S340" s="84">
        <f t="shared" si="110"/>
        <v>276979.08018415497</v>
      </c>
      <c r="T340" s="65">
        <v>0</v>
      </c>
    </row>
    <row r="341" spans="1:20" ht="31.5">
      <c r="A341" s="118">
        <f t="shared" si="111"/>
        <v>136</v>
      </c>
      <c r="B341" s="57" t="s">
        <v>307</v>
      </c>
      <c r="C341" s="71">
        <v>252</v>
      </c>
      <c r="D341" s="130">
        <v>38279</v>
      </c>
      <c r="E341" s="71" t="s">
        <v>299</v>
      </c>
      <c r="F341" s="71" t="s">
        <v>300</v>
      </c>
      <c r="G341" s="33">
        <v>9</v>
      </c>
      <c r="H341" s="33">
        <v>9</v>
      </c>
      <c r="I341" s="85">
        <v>82.2</v>
      </c>
      <c r="J341" s="33">
        <v>2</v>
      </c>
      <c r="K341" s="135">
        <v>2</v>
      </c>
      <c r="L341" s="84">
        <v>0</v>
      </c>
      <c r="M341" s="85">
        <v>82.2</v>
      </c>
      <c r="N341" s="85">
        <v>82.2</v>
      </c>
      <c r="O341" s="85">
        <v>0</v>
      </c>
      <c r="P341" s="65">
        <f t="shared" si="107"/>
        <v>2807130</v>
      </c>
      <c r="Q341" s="84">
        <f t="shared" si="108"/>
        <v>1337712.4928064453</v>
      </c>
      <c r="R341" s="84">
        <f t="shared" si="109"/>
        <v>1185176.8031843468</v>
      </c>
      <c r="S341" s="84">
        <f t="shared" si="110"/>
        <v>284240.7040092077</v>
      </c>
      <c r="T341" s="65">
        <v>0</v>
      </c>
    </row>
    <row r="342" spans="1:20" ht="31.5">
      <c r="A342" s="118">
        <f t="shared" si="111"/>
        <v>137</v>
      </c>
      <c r="B342" s="57" t="s">
        <v>395</v>
      </c>
      <c r="C342" s="71">
        <v>115</v>
      </c>
      <c r="D342" s="130">
        <v>38188</v>
      </c>
      <c r="E342" s="71" t="s">
        <v>299</v>
      </c>
      <c r="F342" s="71" t="s">
        <v>300</v>
      </c>
      <c r="G342" s="33">
        <v>19</v>
      </c>
      <c r="H342" s="33">
        <v>19</v>
      </c>
      <c r="I342" s="85">
        <v>207.4</v>
      </c>
      <c r="J342" s="33">
        <v>10</v>
      </c>
      <c r="K342" s="135">
        <v>5</v>
      </c>
      <c r="L342" s="135">
        <v>5</v>
      </c>
      <c r="M342" s="85">
        <v>207.4</v>
      </c>
      <c r="N342" s="85">
        <v>81.7</v>
      </c>
      <c r="O342" s="85">
        <v>125.7</v>
      </c>
      <c r="P342" s="65">
        <f t="shared" si="107"/>
        <v>7082710</v>
      </c>
      <c r="Q342" s="84">
        <f t="shared" si="108"/>
        <v>3375201.59377198</v>
      </c>
      <c r="R342" s="84">
        <f t="shared" si="109"/>
        <v>2990336.605601381</v>
      </c>
      <c r="S342" s="84">
        <f t="shared" si="110"/>
        <v>717171.8006266385</v>
      </c>
      <c r="T342" s="65">
        <v>0</v>
      </c>
    </row>
    <row r="343" spans="1:20" ht="31.5">
      <c r="A343" s="118">
        <f t="shared" si="111"/>
        <v>138</v>
      </c>
      <c r="B343" s="57" t="s">
        <v>396</v>
      </c>
      <c r="C343" s="71">
        <v>174</v>
      </c>
      <c r="D343" s="130">
        <v>38217</v>
      </c>
      <c r="E343" s="71" t="s">
        <v>299</v>
      </c>
      <c r="F343" s="71" t="s">
        <v>300</v>
      </c>
      <c r="G343" s="33">
        <v>18</v>
      </c>
      <c r="H343" s="33">
        <v>18</v>
      </c>
      <c r="I343" s="85">
        <v>234.7</v>
      </c>
      <c r="J343" s="33">
        <v>8</v>
      </c>
      <c r="K343" s="135">
        <v>7</v>
      </c>
      <c r="L343" s="135">
        <v>1</v>
      </c>
      <c r="M343" s="85">
        <v>234.7</v>
      </c>
      <c r="N343" s="85">
        <v>213.4</v>
      </c>
      <c r="O343" s="85">
        <v>21.3</v>
      </c>
      <c r="P343" s="65">
        <f t="shared" si="107"/>
        <v>8015005</v>
      </c>
      <c r="Q343" s="84">
        <f t="shared" si="108"/>
        <v>3819478.37057996</v>
      </c>
      <c r="R343" s="84">
        <f t="shared" si="109"/>
        <v>3383953.719067715</v>
      </c>
      <c r="S343" s="84">
        <f t="shared" si="110"/>
        <v>811572.9103523243</v>
      </c>
      <c r="T343" s="65">
        <v>0</v>
      </c>
    </row>
    <row r="344" spans="1:20" ht="31.5">
      <c r="A344" s="118">
        <f t="shared" si="111"/>
        <v>139</v>
      </c>
      <c r="B344" s="57" t="s">
        <v>397</v>
      </c>
      <c r="C344" s="71">
        <v>118</v>
      </c>
      <c r="D344" s="130">
        <v>38188</v>
      </c>
      <c r="E344" s="71" t="s">
        <v>299</v>
      </c>
      <c r="F344" s="71" t="s">
        <v>300</v>
      </c>
      <c r="G344" s="33">
        <v>25</v>
      </c>
      <c r="H344" s="33">
        <v>25</v>
      </c>
      <c r="I344" s="85">
        <v>314.9</v>
      </c>
      <c r="J344" s="33">
        <v>14</v>
      </c>
      <c r="K344" s="135">
        <v>8</v>
      </c>
      <c r="L344" s="135">
        <v>6</v>
      </c>
      <c r="M344" s="85">
        <v>314.9</v>
      </c>
      <c r="N344" s="85">
        <v>151.2</v>
      </c>
      <c r="O344" s="85">
        <v>163.7</v>
      </c>
      <c r="P344" s="65">
        <f t="shared" si="107"/>
        <v>10753835</v>
      </c>
      <c r="Q344" s="84">
        <f t="shared" si="108"/>
        <v>5124643.114169703</v>
      </c>
      <c r="R344" s="84">
        <f t="shared" si="109"/>
        <v>4540294.1036831</v>
      </c>
      <c r="S344" s="84">
        <f t="shared" si="110"/>
        <v>1088897.782147196</v>
      </c>
      <c r="T344" s="65">
        <v>0</v>
      </c>
    </row>
    <row r="345" spans="1:20" ht="31.5">
      <c r="A345" s="118">
        <f t="shared" si="111"/>
        <v>140</v>
      </c>
      <c r="B345" s="57" t="s">
        <v>308</v>
      </c>
      <c r="C345" s="71">
        <v>224</v>
      </c>
      <c r="D345" s="130">
        <v>38251</v>
      </c>
      <c r="E345" s="71" t="s">
        <v>299</v>
      </c>
      <c r="F345" s="71" t="s">
        <v>300</v>
      </c>
      <c r="G345" s="33">
        <v>7</v>
      </c>
      <c r="H345" s="33">
        <v>7</v>
      </c>
      <c r="I345" s="85">
        <v>72.4</v>
      </c>
      <c r="J345" s="33">
        <v>2</v>
      </c>
      <c r="K345" s="135">
        <v>2</v>
      </c>
      <c r="L345" s="84">
        <v>0</v>
      </c>
      <c r="M345" s="85">
        <v>72.4</v>
      </c>
      <c r="N345" s="85">
        <v>72.4</v>
      </c>
      <c r="O345" s="85">
        <v>0</v>
      </c>
      <c r="P345" s="65">
        <f t="shared" si="107"/>
        <v>2472460</v>
      </c>
      <c r="Q345" s="84">
        <f t="shared" si="108"/>
        <v>1178228.5216446065</v>
      </c>
      <c r="R345" s="84">
        <f t="shared" si="109"/>
        <v>1043878.3521964321</v>
      </c>
      <c r="S345" s="84">
        <f t="shared" si="110"/>
        <v>250353.1261589616</v>
      </c>
      <c r="T345" s="65">
        <v>0</v>
      </c>
    </row>
    <row r="346" spans="1:20" ht="31.5">
      <c r="A346" s="118">
        <f t="shared" si="111"/>
        <v>141</v>
      </c>
      <c r="B346" s="57" t="s">
        <v>398</v>
      </c>
      <c r="C346" s="71">
        <v>225</v>
      </c>
      <c r="D346" s="130">
        <v>38251</v>
      </c>
      <c r="E346" s="71" t="s">
        <v>299</v>
      </c>
      <c r="F346" s="71" t="s">
        <v>300</v>
      </c>
      <c r="G346" s="33">
        <v>4</v>
      </c>
      <c r="H346" s="33">
        <v>4</v>
      </c>
      <c r="I346" s="85">
        <v>51.7</v>
      </c>
      <c r="J346" s="33">
        <v>2</v>
      </c>
      <c r="K346" s="84">
        <v>0</v>
      </c>
      <c r="L346" s="135">
        <v>2</v>
      </c>
      <c r="M346" s="85">
        <v>51.7</v>
      </c>
      <c r="N346" s="85">
        <v>0</v>
      </c>
      <c r="O346" s="85">
        <v>51.7</v>
      </c>
      <c r="P346" s="65">
        <f t="shared" si="107"/>
        <v>1765555</v>
      </c>
      <c r="Q346" s="84">
        <f t="shared" si="108"/>
        <v>841359.3172517424</v>
      </c>
      <c r="R346" s="84">
        <f t="shared" si="109"/>
        <v>745421.4200076732</v>
      </c>
      <c r="S346" s="84">
        <f t="shared" si="110"/>
        <v>178774.26274058444</v>
      </c>
      <c r="T346" s="65">
        <v>0</v>
      </c>
    </row>
    <row r="347" spans="1:20" ht="31.5">
      <c r="A347" s="118">
        <f t="shared" si="111"/>
        <v>142</v>
      </c>
      <c r="B347" s="57" t="s">
        <v>399</v>
      </c>
      <c r="C347" s="71">
        <v>226</v>
      </c>
      <c r="D347" s="130">
        <v>38251</v>
      </c>
      <c r="E347" s="71" t="s">
        <v>299</v>
      </c>
      <c r="F347" s="71" t="s">
        <v>300</v>
      </c>
      <c r="G347" s="33">
        <v>6</v>
      </c>
      <c r="H347" s="33">
        <v>6</v>
      </c>
      <c r="I347" s="85">
        <v>126.7</v>
      </c>
      <c r="J347" s="33">
        <v>4</v>
      </c>
      <c r="K347" s="135">
        <v>4</v>
      </c>
      <c r="L347" s="84">
        <v>0</v>
      </c>
      <c r="M347" s="85">
        <v>126.7</v>
      </c>
      <c r="N347" s="85">
        <v>126.7</v>
      </c>
      <c r="O347" s="85">
        <v>0</v>
      </c>
      <c r="P347" s="65">
        <f t="shared" si="107"/>
        <v>4326805</v>
      </c>
      <c r="Q347" s="84">
        <f t="shared" si="108"/>
        <v>2061899.9128780612</v>
      </c>
      <c r="R347" s="84">
        <f t="shared" si="109"/>
        <v>1826787.116343756</v>
      </c>
      <c r="S347" s="84">
        <f t="shared" si="110"/>
        <v>438117.97077818273</v>
      </c>
      <c r="T347" s="65">
        <v>0</v>
      </c>
    </row>
    <row r="348" spans="1:20" ht="31.5">
      <c r="A348" s="118">
        <f t="shared" si="111"/>
        <v>143</v>
      </c>
      <c r="B348" s="57" t="s">
        <v>309</v>
      </c>
      <c r="C348" s="71">
        <v>227</v>
      </c>
      <c r="D348" s="130">
        <v>38279</v>
      </c>
      <c r="E348" s="71" t="s">
        <v>299</v>
      </c>
      <c r="F348" s="71" t="s">
        <v>300</v>
      </c>
      <c r="G348" s="33">
        <v>2</v>
      </c>
      <c r="H348" s="33">
        <v>2</v>
      </c>
      <c r="I348" s="85">
        <v>44.8</v>
      </c>
      <c r="J348" s="33">
        <v>2</v>
      </c>
      <c r="K348" s="135">
        <v>2</v>
      </c>
      <c r="L348" s="84">
        <v>0</v>
      </c>
      <c r="M348" s="85">
        <v>44.8</v>
      </c>
      <c r="N348" s="85">
        <v>44.8</v>
      </c>
      <c r="O348" s="85">
        <v>0</v>
      </c>
      <c r="P348" s="65">
        <f t="shared" si="107"/>
        <v>1529920</v>
      </c>
      <c r="Q348" s="84">
        <f t="shared" si="108"/>
        <v>729069.582454121</v>
      </c>
      <c r="R348" s="84">
        <f t="shared" si="109"/>
        <v>645935.7759447534</v>
      </c>
      <c r="S348" s="84">
        <f t="shared" si="110"/>
        <v>154914.64160112536</v>
      </c>
      <c r="T348" s="65">
        <v>0</v>
      </c>
    </row>
    <row r="349" spans="1:20" ht="31.5">
      <c r="A349" s="118">
        <f t="shared" si="111"/>
        <v>144</v>
      </c>
      <c r="B349" s="57" t="s">
        <v>400</v>
      </c>
      <c r="C349" s="71">
        <v>228</v>
      </c>
      <c r="D349" s="130">
        <v>38279</v>
      </c>
      <c r="E349" s="71" t="s">
        <v>299</v>
      </c>
      <c r="F349" s="71" t="s">
        <v>300</v>
      </c>
      <c r="G349" s="33">
        <v>5</v>
      </c>
      <c r="H349" s="33">
        <v>5</v>
      </c>
      <c r="I349" s="85">
        <v>58</v>
      </c>
      <c r="J349" s="33">
        <v>2</v>
      </c>
      <c r="K349" s="135">
        <v>2</v>
      </c>
      <c r="L349" s="84">
        <v>0</v>
      </c>
      <c r="M349" s="85">
        <v>58</v>
      </c>
      <c r="N349" s="85">
        <v>58</v>
      </c>
      <c r="O349" s="85">
        <v>0</v>
      </c>
      <c r="P349" s="65">
        <f t="shared" si="107"/>
        <v>1980700</v>
      </c>
      <c r="Q349" s="84">
        <f t="shared" si="108"/>
        <v>943884.7272843531</v>
      </c>
      <c r="R349" s="84">
        <f t="shared" si="109"/>
        <v>836256.1384999041</v>
      </c>
      <c r="S349" s="84">
        <f t="shared" si="110"/>
        <v>200559.1342157427</v>
      </c>
      <c r="T349" s="65">
        <v>0</v>
      </c>
    </row>
    <row r="350" spans="1:20" ht="31.5">
      <c r="A350" s="118">
        <f t="shared" si="111"/>
        <v>145</v>
      </c>
      <c r="B350" s="57" t="s">
        <v>401</v>
      </c>
      <c r="C350" s="71">
        <v>231</v>
      </c>
      <c r="D350" s="130">
        <v>38279</v>
      </c>
      <c r="E350" s="71" t="s">
        <v>299</v>
      </c>
      <c r="F350" s="71" t="s">
        <v>300</v>
      </c>
      <c r="G350" s="33">
        <v>13</v>
      </c>
      <c r="H350" s="33">
        <v>13</v>
      </c>
      <c r="I350" s="85">
        <v>246.1</v>
      </c>
      <c r="J350" s="33">
        <v>5</v>
      </c>
      <c r="K350" s="135">
        <v>5</v>
      </c>
      <c r="L350" s="84">
        <v>0</v>
      </c>
      <c r="M350" s="85">
        <v>246.1</v>
      </c>
      <c r="N350" s="85">
        <v>246.1</v>
      </c>
      <c r="O350" s="85">
        <v>0</v>
      </c>
      <c r="P350" s="65">
        <f t="shared" si="107"/>
        <v>8404315</v>
      </c>
      <c r="Q350" s="84">
        <f t="shared" si="108"/>
        <v>4005000.54111516</v>
      </c>
      <c r="R350" s="84">
        <f t="shared" si="109"/>
        <v>3548321.3049108</v>
      </c>
      <c r="S350" s="84">
        <f t="shared" si="110"/>
        <v>850993.1539740392</v>
      </c>
      <c r="T350" s="65">
        <v>0</v>
      </c>
    </row>
    <row r="351" spans="1:20" ht="31.5">
      <c r="A351" s="118">
        <f t="shared" si="111"/>
        <v>146</v>
      </c>
      <c r="B351" s="57" t="s">
        <v>402</v>
      </c>
      <c r="C351" s="71">
        <v>157</v>
      </c>
      <c r="D351" s="130">
        <v>38217</v>
      </c>
      <c r="E351" s="71" t="s">
        <v>299</v>
      </c>
      <c r="F351" s="71" t="s">
        <v>300</v>
      </c>
      <c r="G351" s="33">
        <v>6</v>
      </c>
      <c r="H351" s="33">
        <v>6</v>
      </c>
      <c r="I351" s="85">
        <v>77.5</v>
      </c>
      <c r="J351" s="33">
        <v>2</v>
      </c>
      <c r="K351" s="135">
        <v>2</v>
      </c>
      <c r="L351" s="84">
        <v>0</v>
      </c>
      <c r="M351" s="85">
        <v>77.5</v>
      </c>
      <c r="N351" s="85">
        <v>77.5</v>
      </c>
      <c r="O351" s="85">
        <v>0</v>
      </c>
      <c r="P351" s="65">
        <f t="shared" si="107"/>
        <v>2646625</v>
      </c>
      <c r="Q351" s="84">
        <f t="shared" si="108"/>
        <v>1261225.282147196</v>
      </c>
      <c r="R351" s="84">
        <f t="shared" si="109"/>
        <v>1117411.2195472857</v>
      </c>
      <c r="S351" s="84">
        <f t="shared" si="110"/>
        <v>267988.49830551824</v>
      </c>
      <c r="T351" s="65">
        <v>0</v>
      </c>
    </row>
    <row r="352" spans="1:20" ht="31.5">
      <c r="A352" s="118">
        <f t="shared" si="111"/>
        <v>147</v>
      </c>
      <c r="B352" s="57" t="s">
        <v>403</v>
      </c>
      <c r="C352" s="71">
        <v>159</v>
      </c>
      <c r="D352" s="130">
        <v>38217</v>
      </c>
      <c r="E352" s="71" t="s">
        <v>299</v>
      </c>
      <c r="F352" s="71" t="s">
        <v>300</v>
      </c>
      <c r="G352" s="33">
        <v>2</v>
      </c>
      <c r="H352" s="33">
        <v>2</v>
      </c>
      <c r="I352" s="85">
        <v>68.7</v>
      </c>
      <c r="J352" s="33">
        <v>2</v>
      </c>
      <c r="K352" s="135">
        <v>2</v>
      </c>
      <c r="L352" s="84">
        <v>0</v>
      </c>
      <c r="M352" s="85">
        <v>68.7</v>
      </c>
      <c r="N352" s="85">
        <v>68.7</v>
      </c>
      <c r="O352" s="85">
        <v>0</v>
      </c>
      <c r="P352" s="65">
        <f t="shared" si="107"/>
        <v>2346105</v>
      </c>
      <c r="Q352" s="84">
        <f t="shared" si="108"/>
        <v>1118015.185593708</v>
      </c>
      <c r="R352" s="84">
        <f t="shared" si="109"/>
        <v>990530.9778438519</v>
      </c>
      <c r="S352" s="84">
        <f t="shared" si="110"/>
        <v>237558.83656244006</v>
      </c>
      <c r="T352" s="65">
        <v>0</v>
      </c>
    </row>
    <row r="353" spans="1:20" ht="31.5">
      <c r="A353" s="118">
        <f t="shared" si="111"/>
        <v>148</v>
      </c>
      <c r="B353" s="57" t="s">
        <v>404</v>
      </c>
      <c r="C353" s="71">
        <v>160</v>
      </c>
      <c r="D353" s="130">
        <v>38217</v>
      </c>
      <c r="E353" s="71" t="s">
        <v>299</v>
      </c>
      <c r="F353" s="71" t="s">
        <v>300</v>
      </c>
      <c r="G353" s="33">
        <v>7</v>
      </c>
      <c r="H353" s="33">
        <v>7</v>
      </c>
      <c r="I353" s="85">
        <v>143.3</v>
      </c>
      <c r="J353" s="33">
        <v>5</v>
      </c>
      <c r="K353" s="135">
        <v>3</v>
      </c>
      <c r="L353" s="135">
        <v>2</v>
      </c>
      <c r="M353" s="85">
        <v>143.3</v>
      </c>
      <c r="N353" s="85">
        <v>97.7</v>
      </c>
      <c r="O353" s="85">
        <v>45.6</v>
      </c>
      <c r="P353" s="65">
        <f t="shared" si="107"/>
        <v>4893695</v>
      </c>
      <c r="Q353" s="84">
        <f t="shared" si="108"/>
        <v>2332046.2313766866</v>
      </c>
      <c r="R353" s="84">
        <f t="shared" si="109"/>
        <v>2066129.3904661424</v>
      </c>
      <c r="S353" s="84">
        <f t="shared" si="110"/>
        <v>495519.3781571712</v>
      </c>
      <c r="T353" s="65">
        <v>0</v>
      </c>
    </row>
    <row r="354" spans="1:20" ht="31.5">
      <c r="A354" s="118">
        <f t="shared" si="111"/>
        <v>149</v>
      </c>
      <c r="B354" s="57" t="s">
        <v>405</v>
      </c>
      <c r="C354" s="71">
        <v>161</v>
      </c>
      <c r="D354" s="130">
        <v>38217</v>
      </c>
      <c r="E354" s="71" t="s">
        <v>299</v>
      </c>
      <c r="F354" s="71" t="s">
        <v>300</v>
      </c>
      <c r="G354" s="33">
        <v>2</v>
      </c>
      <c r="H354" s="33">
        <v>2</v>
      </c>
      <c r="I354" s="85">
        <v>47.8</v>
      </c>
      <c r="J354" s="33">
        <v>2</v>
      </c>
      <c r="K354" s="135">
        <v>2</v>
      </c>
      <c r="L354" s="84">
        <v>0</v>
      </c>
      <c r="M354" s="85">
        <v>47.8</v>
      </c>
      <c r="N354" s="85">
        <v>47.8</v>
      </c>
      <c r="O354" s="85">
        <v>0</v>
      </c>
      <c r="P354" s="65">
        <f t="shared" si="107"/>
        <v>1632370</v>
      </c>
      <c r="Q354" s="84">
        <f t="shared" si="108"/>
        <v>777891.2062791737</v>
      </c>
      <c r="R354" s="84">
        <f t="shared" si="109"/>
        <v>689190.4037981968</v>
      </c>
      <c r="S354" s="84">
        <f t="shared" si="110"/>
        <v>165288.3899226293</v>
      </c>
      <c r="T354" s="65">
        <v>0</v>
      </c>
    </row>
    <row r="355" spans="1:20" ht="47.25">
      <c r="A355" s="118">
        <f t="shared" si="111"/>
        <v>150</v>
      </c>
      <c r="B355" s="57" t="s">
        <v>406</v>
      </c>
      <c r="C355" s="71">
        <v>162</v>
      </c>
      <c r="D355" s="130">
        <v>38217</v>
      </c>
      <c r="E355" s="71" t="s">
        <v>299</v>
      </c>
      <c r="F355" s="71" t="s">
        <v>300</v>
      </c>
      <c r="G355" s="33">
        <v>5</v>
      </c>
      <c r="H355" s="33">
        <v>5</v>
      </c>
      <c r="I355" s="85">
        <v>63.9</v>
      </c>
      <c r="J355" s="33">
        <v>2</v>
      </c>
      <c r="K355" s="135">
        <v>2</v>
      </c>
      <c r="L355" s="84">
        <v>0</v>
      </c>
      <c r="M355" s="85">
        <v>63.9</v>
      </c>
      <c r="N355" s="85">
        <v>63.9</v>
      </c>
      <c r="O355" s="85">
        <v>0</v>
      </c>
      <c r="P355" s="65">
        <f t="shared" si="107"/>
        <v>2182185</v>
      </c>
      <c r="Q355" s="84">
        <f t="shared" si="108"/>
        <v>1039900.5874736235</v>
      </c>
      <c r="R355" s="84">
        <f t="shared" si="109"/>
        <v>921323.5732783426</v>
      </c>
      <c r="S355" s="84">
        <f t="shared" si="110"/>
        <v>220960.83924803374</v>
      </c>
      <c r="T355" s="65">
        <v>0</v>
      </c>
    </row>
    <row r="356" spans="1:20" ht="31.5">
      <c r="A356" s="118">
        <f t="shared" si="111"/>
        <v>151</v>
      </c>
      <c r="B356" s="57" t="s">
        <v>407</v>
      </c>
      <c r="C356" s="71">
        <v>169</v>
      </c>
      <c r="D356" s="130">
        <v>38217</v>
      </c>
      <c r="E356" s="71" t="s">
        <v>299</v>
      </c>
      <c r="F356" s="71" t="s">
        <v>300</v>
      </c>
      <c r="G356" s="33">
        <v>4</v>
      </c>
      <c r="H356" s="33">
        <v>4</v>
      </c>
      <c r="I356" s="85">
        <v>100</v>
      </c>
      <c r="J356" s="33">
        <v>3</v>
      </c>
      <c r="K356" s="84">
        <v>0</v>
      </c>
      <c r="L356" s="135">
        <v>3</v>
      </c>
      <c r="M356" s="85">
        <v>100</v>
      </c>
      <c r="N356" s="85">
        <v>0</v>
      </c>
      <c r="O356" s="85">
        <v>100</v>
      </c>
      <c r="P356" s="65">
        <f t="shared" si="107"/>
        <v>3415000</v>
      </c>
      <c r="Q356" s="84">
        <f t="shared" si="108"/>
        <v>1627387.4608350915</v>
      </c>
      <c r="R356" s="84">
        <f t="shared" si="109"/>
        <v>1441820.9284481106</v>
      </c>
      <c r="S356" s="84">
        <f t="shared" si="110"/>
        <v>345791.61071679776</v>
      </c>
      <c r="T356" s="65">
        <v>0</v>
      </c>
    </row>
    <row r="357" spans="1:20" ht="31.5">
      <c r="A357" s="118">
        <f t="shared" si="111"/>
        <v>152</v>
      </c>
      <c r="B357" s="57" t="s">
        <v>408</v>
      </c>
      <c r="C357" s="71">
        <v>170</v>
      </c>
      <c r="D357" s="130">
        <v>38217</v>
      </c>
      <c r="E357" s="71" t="s">
        <v>299</v>
      </c>
      <c r="F357" s="71" t="s">
        <v>300</v>
      </c>
      <c r="G357" s="33">
        <v>7</v>
      </c>
      <c r="H357" s="33">
        <v>7</v>
      </c>
      <c r="I357" s="85">
        <v>49.1</v>
      </c>
      <c r="J357" s="33">
        <v>2</v>
      </c>
      <c r="K357" s="135">
        <v>2</v>
      </c>
      <c r="L357" s="84">
        <v>0</v>
      </c>
      <c r="M357" s="85">
        <v>49.1</v>
      </c>
      <c r="N357" s="85">
        <v>49.1</v>
      </c>
      <c r="O357" s="85">
        <v>0</v>
      </c>
      <c r="P357" s="65">
        <f t="shared" si="107"/>
        <v>1676765</v>
      </c>
      <c r="Q357" s="84">
        <f t="shared" si="108"/>
        <v>799047.24327003</v>
      </c>
      <c r="R357" s="84">
        <f t="shared" si="109"/>
        <v>707934.0758680223</v>
      </c>
      <c r="S357" s="84">
        <f t="shared" si="110"/>
        <v>169783.68086194768</v>
      </c>
      <c r="T357" s="65">
        <v>0</v>
      </c>
    </row>
    <row r="358" spans="1:20" ht="31.5">
      <c r="A358" s="118">
        <f t="shared" si="111"/>
        <v>153</v>
      </c>
      <c r="B358" s="57" t="s">
        <v>409</v>
      </c>
      <c r="C358" s="71">
        <v>171</v>
      </c>
      <c r="D358" s="130">
        <v>38217</v>
      </c>
      <c r="E358" s="71" t="s">
        <v>299</v>
      </c>
      <c r="F358" s="71" t="s">
        <v>300</v>
      </c>
      <c r="G358" s="33">
        <v>16</v>
      </c>
      <c r="H358" s="33">
        <v>16</v>
      </c>
      <c r="I358" s="85">
        <v>116.3</v>
      </c>
      <c r="J358" s="33">
        <v>4</v>
      </c>
      <c r="K358" s="135">
        <v>2</v>
      </c>
      <c r="L358" s="135">
        <v>2</v>
      </c>
      <c r="M358" s="85">
        <v>116.3</v>
      </c>
      <c r="N358" s="85">
        <v>57.9</v>
      </c>
      <c r="O358" s="85">
        <v>58.4</v>
      </c>
      <c r="P358" s="65">
        <f t="shared" si="107"/>
        <v>3971645</v>
      </c>
      <c r="Q358" s="84">
        <f t="shared" si="108"/>
        <v>1892651.6169512114</v>
      </c>
      <c r="R358" s="84">
        <f t="shared" si="109"/>
        <v>1676837.7397851525</v>
      </c>
      <c r="S358" s="84">
        <f t="shared" si="110"/>
        <v>402155.64326363575</v>
      </c>
      <c r="T358" s="65">
        <v>0</v>
      </c>
    </row>
    <row r="359" spans="1:20" ht="31.5">
      <c r="A359" s="118">
        <f t="shared" si="111"/>
        <v>154</v>
      </c>
      <c r="B359" s="57" t="s">
        <v>410</v>
      </c>
      <c r="C359" s="71">
        <v>128</v>
      </c>
      <c r="D359" s="130">
        <v>38188</v>
      </c>
      <c r="E359" s="71" t="s">
        <v>299</v>
      </c>
      <c r="F359" s="71" t="s">
        <v>300</v>
      </c>
      <c r="G359" s="33">
        <v>2</v>
      </c>
      <c r="H359" s="33">
        <v>2</v>
      </c>
      <c r="I359" s="85">
        <v>29</v>
      </c>
      <c r="J359" s="33">
        <v>2</v>
      </c>
      <c r="K359" s="135">
        <v>2</v>
      </c>
      <c r="L359" s="84">
        <v>0</v>
      </c>
      <c r="M359" s="85">
        <v>29</v>
      </c>
      <c r="N359" s="85">
        <v>29</v>
      </c>
      <c r="O359" s="85">
        <v>0</v>
      </c>
      <c r="P359" s="65">
        <f t="shared" si="107"/>
        <v>990350</v>
      </c>
      <c r="Q359" s="84">
        <f t="shared" si="108"/>
        <v>471942.36364217656</v>
      </c>
      <c r="R359" s="84">
        <f t="shared" si="109"/>
        <v>418128.06924995204</v>
      </c>
      <c r="S359" s="84">
        <f t="shared" si="110"/>
        <v>100279.56710787135</v>
      </c>
      <c r="T359" s="65">
        <v>0</v>
      </c>
    </row>
    <row r="360" spans="1:20" ht="31.5">
      <c r="A360" s="118">
        <f t="shared" si="111"/>
        <v>155</v>
      </c>
      <c r="B360" s="57" t="s">
        <v>411</v>
      </c>
      <c r="C360" s="71">
        <v>76</v>
      </c>
      <c r="D360" s="130">
        <v>38154</v>
      </c>
      <c r="E360" s="71" t="s">
        <v>299</v>
      </c>
      <c r="F360" s="71" t="s">
        <v>300</v>
      </c>
      <c r="G360" s="33">
        <v>10</v>
      </c>
      <c r="H360" s="33">
        <v>10</v>
      </c>
      <c r="I360" s="85">
        <v>86.3</v>
      </c>
      <c r="J360" s="33">
        <v>2</v>
      </c>
      <c r="K360" s="84">
        <v>0</v>
      </c>
      <c r="L360" s="135">
        <v>2</v>
      </c>
      <c r="M360" s="85">
        <v>86.3</v>
      </c>
      <c r="N360" s="85">
        <v>0</v>
      </c>
      <c r="O360" s="85">
        <v>86.3</v>
      </c>
      <c r="P360" s="65">
        <f t="shared" si="107"/>
        <v>2947145</v>
      </c>
      <c r="Q360" s="84">
        <f t="shared" si="108"/>
        <v>1404435.378700684</v>
      </c>
      <c r="R360" s="84">
        <f t="shared" si="109"/>
        <v>1244291.4612507194</v>
      </c>
      <c r="S360" s="84">
        <f t="shared" si="110"/>
        <v>298418.16004859644</v>
      </c>
      <c r="T360" s="65">
        <v>0</v>
      </c>
    </row>
    <row r="361" spans="1:20" ht="31.5">
      <c r="A361" s="118">
        <f t="shared" si="111"/>
        <v>156</v>
      </c>
      <c r="B361" s="133" t="s">
        <v>412</v>
      </c>
      <c r="C361" s="33">
        <v>96</v>
      </c>
      <c r="D361" s="134">
        <v>38154</v>
      </c>
      <c r="E361" s="71" t="s">
        <v>299</v>
      </c>
      <c r="F361" s="71" t="s">
        <v>300</v>
      </c>
      <c r="G361" s="33">
        <v>6</v>
      </c>
      <c r="H361" s="33">
        <v>6</v>
      </c>
      <c r="I361" s="85">
        <v>127</v>
      </c>
      <c r="J361" s="33">
        <v>2</v>
      </c>
      <c r="K361" s="33">
        <v>1</v>
      </c>
      <c r="L361" s="135">
        <v>1</v>
      </c>
      <c r="M361" s="85">
        <v>127</v>
      </c>
      <c r="N361" s="85">
        <v>63.5</v>
      </c>
      <c r="O361" s="85">
        <v>63.5</v>
      </c>
      <c r="P361" s="65">
        <f t="shared" si="107"/>
        <v>4337050</v>
      </c>
      <c r="Q361" s="84">
        <f t="shared" si="108"/>
        <v>2066782.0752605663</v>
      </c>
      <c r="R361" s="84">
        <f t="shared" si="109"/>
        <v>1831112.5791291003</v>
      </c>
      <c r="S361" s="84">
        <f t="shared" si="110"/>
        <v>439155.34561033314</v>
      </c>
      <c r="T361" s="65">
        <v>0</v>
      </c>
    </row>
    <row r="362" spans="1:20" ht="15.75">
      <c r="A362" s="150" t="s">
        <v>413</v>
      </c>
      <c r="B362" s="150"/>
      <c r="C362" s="58"/>
      <c r="D362" s="58"/>
      <c r="E362" s="58"/>
      <c r="F362" s="58"/>
      <c r="G362" s="58">
        <f>G363+G364+G365</f>
        <v>60</v>
      </c>
      <c r="H362" s="58">
        <f aca="true" t="shared" si="112" ref="H362:T362">H363+H364+H365</f>
        <v>60</v>
      </c>
      <c r="I362" s="59">
        <f t="shared" si="112"/>
        <v>827</v>
      </c>
      <c r="J362" s="58">
        <f t="shared" si="112"/>
        <v>22</v>
      </c>
      <c r="K362" s="58">
        <f t="shared" si="112"/>
        <v>14</v>
      </c>
      <c r="L362" s="58">
        <f t="shared" si="112"/>
        <v>8</v>
      </c>
      <c r="M362" s="59">
        <f t="shared" si="112"/>
        <v>827</v>
      </c>
      <c r="N362" s="59">
        <f t="shared" si="112"/>
        <v>536.0999999999999</v>
      </c>
      <c r="O362" s="59">
        <f t="shared" si="112"/>
        <v>290.9</v>
      </c>
      <c r="P362" s="65">
        <f t="shared" si="112"/>
        <v>28242050</v>
      </c>
      <c r="Q362" s="65">
        <f t="shared" si="112"/>
        <v>13477300</v>
      </c>
      <c r="R362" s="65">
        <f t="shared" si="112"/>
        <v>11940500</v>
      </c>
      <c r="S362" s="65">
        <f t="shared" si="112"/>
        <v>2824250</v>
      </c>
      <c r="T362" s="59">
        <f t="shared" si="112"/>
        <v>0</v>
      </c>
    </row>
    <row r="363" spans="1:20" ht="31.5">
      <c r="A363" s="43">
        <v>157</v>
      </c>
      <c r="B363" s="7" t="s">
        <v>414</v>
      </c>
      <c r="C363" s="71">
        <v>3</v>
      </c>
      <c r="D363" s="72">
        <v>40596</v>
      </c>
      <c r="E363" s="130" t="s">
        <v>588</v>
      </c>
      <c r="F363" s="130" t="s">
        <v>415</v>
      </c>
      <c r="G363" s="58">
        <v>12</v>
      </c>
      <c r="H363" s="58">
        <v>12</v>
      </c>
      <c r="I363" s="73">
        <v>198.9</v>
      </c>
      <c r="J363" s="58">
        <v>6</v>
      </c>
      <c r="K363" s="71">
        <v>4</v>
      </c>
      <c r="L363" s="71">
        <v>2</v>
      </c>
      <c r="M363" s="59">
        <v>198.9</v>
      </c>
      <c r="N363" s="73">
        <v>142.9</v>
      </c>
      <c r="O363" s="73">
        <v>56</v>
      </c>
      <c r="P363" s="65">
        <f>M363*34150</f>
        <v>6792435</v>
      </c>
      <c r="Q363" s="81">
        <v>3241397</v>
      </c>
      <c r="R363" s="81">
        <v>2871784</v>
      </c>
      <c r="S363" s="65">
        <f>P363-Q363-R363</f>
        <v>679254</v>
      </c>
      <c r="T363" s="81">
        <v>0</v>
      </c>
    </row>
    <row r="364" spans="1:20" ht="31.5">
      <c r="A364" s="43">
        <f>A363+1</f>
        <v>158</v>
      </c>
      <c r="B364" s="7" t="s">
        <v>651</v>
      </c>
      <c r="C364" s="71" t="s">
        <v>577</v>
      </c>
      <c r="D364" s="72">
        <v>40795</v>
      </c>
      <c r="E364" s="130" t="s">
        <v>588</v>
      </c>
      <c r="F364" s="130" t="s">
        <v>415</v>
      </c>
      <c r="G364" s="58">
        <v>10</v>
      </c>
      <c r="H364" s="58">
        <v>10</v>
      </c>
      <c r="I364" s="73">
        <v>107.1</v>
      </c>
      <c r="J364" s="58">
        <v>4</v>
      </c>
      <c r="K364" s="71">
        <v>2</v>
      </c>
      <c r="L364" s="71">
        <v>2</v>
      </c>
      <c r="M364" s="59">
        <v>107.1</v>
      </c>
      <c r="N364" s="73">
        <v>55.3</v>
      </c>
      <c r="O364" s="73">
        <v>51.8</v>
      </c>
      <c r="P364" s="65">
        <f>M364*34150</f>
        <v>3657465</v>
      </c>
      <c r="Q364" s="81">
        <v>1745367</v>
      </c>
      <c r="R364" s="81">
        <v>1546345</v>
      </c>
      <c r="S364" s="65">
        <f>P364-Q364-R364</f>
        <v>365753</v>
      </c>
      <c r="T364" s="81">
        <v>0</v>
      </c>
    </row>
    <row r="365" spans="1:20" ht="47.25">
      <c r="A365" s="43">
        <f>A364+1</f>
        <v>159</v>
      </c>
      <c r="B365" s="7" t="s">
        <v>652</v>
      </c>
      <c r="C365" s="71" t="s">
        <v>578</v>
      </c>
      <c r="D365" s="72">
        <v>40863</v>
      </c>
      <c r="E365" s="130" t="s">
        <v>588</v>
      </c>
      <c r="F365" s="130" t="s">
        <v>415</v>
      </c>
      <c r="G365" s="58">
        <v>38</v>
      </c>
      <c r="H365" s="58">
        <v>38</v>
      </c>
      <c r="I365" s="73">
        <v>521</v>
      </c>
      <c r="J365" s="58">
        <v>12</v>
      </c>
      <c r="K365" s="71">
        <v>8</v>
      </c>
      <c r="L365" s="71">
        <v>4</v>
      </c>
      <c r="M365" s="59">
        <v>521</v>
      </c>
      <c r="N365" s="73">
        <v>337.9</v>
      </c>
      <c r="O365" s="73">
        <v>183.1</v>
      </c>
      <c r="P365" s="65">
        <f>M365*34150</f>
        <v>17792150</v>
      </c>
      <c r="Q365" s="81">
        <v>8490536</v>
      </c>
      <c r="R365" s="81">
        <v>7522371</v>
      </c>
      <c r="S365" s="65">
        <f>P365-Q365-R365</f>
        <v>1779243</v>
      </c>
      <c r="T365" s="81">
        <v>0</v>
      </c>
    </row>
    <row r="366" spans="1:20" ht="15.75">
      <c r="A366" s="153" t="s">
        <v>416</v>
      </c>
      <c r="B366" s="153"/>
      <c r="C366" s="74"/>
      <c r="D366" s="74"/>
      <c r="E366" s="80"/>
      <c r="F366" s="74"/>
      <c r="G366" s="81">
        <f aca="true" t="shared" si="113" ref="G366:N366">G367+G368+G369+G370+G371+G372+G373+G374+G375+G376+G377+G378+G379+G380+G381+G382+G383+G384+G385+G386+G387+G388+G389+G390+G391+G392+G393+G394</f>
        <v>212</v>
      </c>
      <c r="H366" s="74">
        <f t="shared" si="113"/>
        <v>212</v>
      </c>
      <c r="I366" s="82">
        <f t="shared" si="113"/>
        <v>3036.790000000001</v>
      </c>
      <c r="J366" s="81">
        <f t="shared" si="113"/>
        <v>77</v>
      </c>
      <c r="K366" s="81">
        <f t="shared" si="113"/>
        <v>30</v>
      </c>
      <c r="L366" s="81">
        <f t="shared" si="113"/>
        <v>47</v>
      </c>
      <c r="M366" s="82">
        <f t="shared" si="113"/>
        <v>2927.0000000000014</v>
      </c>
      <c r="N366" s="82">
        <f t="shared" si="113"/>
        <v>780.7</v>
      </c>
      <c r="O366" s="82">
        <f aca="true" t="shared" si="114" ref="O366:T366">O367+O368+O369+O370+O371+O372+O373+O374+O375+O376+O377+O378+O379+O380+O381+O382+O383+O384+O385+O386+O387+O388+O389+O390+O391+O392+O393+O394</f>
        <v>2146.2999999999997</v>
      </c>
      <c r="P366" s="81">
        <f t="shared" si="114"/>
        <v>99957050</v>
      </c>
      <c r="Q366" s="81">
        <f t="shared" si="114"/>
        <v>45848900.0263</v>
      </c>
      <c r="R366" s="81">
        <f t="shared" si="114"/>
        <v>21405400.00930001</v>
      </c>
      <c r="S366" s="81">
        <f t="shared" si="114"/>
        <v>32702749.964400005</v>
      </c>
      <c r="T366" s="82">
        <f t="shared" si="114"/>
        <v>0</v>
      </c>
    </row>
    <row r="367" spans="1:20" ht="31.5">
      <c r="A367" s="54">
        <v>160</v>
      </c>
      <c r="B367" s="93" t="s">
        <v>417</v>
      </c>
      <c r="C367" s="74" t="s">
        <v>583</v>
      </c>
      <c r="D367" s="80" t="s">
        <v>584</v>
      </c>
      <c r="E367" s="130" t="s">
        <v>415</v>
      </c>
      <c r="F367" s="130" t="s">
        <v>252</v>
      </c>
      <c r="G367" s="74">
        <f>7+1+2+2+1+5+1+1+3+1</f>
        <v>24</v>
      </c>
      <c r="H367" s="74">
        <f>G367</f>
        <v>24</v>
      </c>
      <c r="I367" s="82">
        <f>440.9-10.31</f>
        <v>430.59</v>
      </c>
      <c r="J367" s="74">
        <f>10+4</f>
        <v>14</v>
      </c>
      <c r="K367" s="74">
        <v>6</v>
      </c>
      <c r="L367" s="74">
        <f>J367-K367</f>
        <v>8</v>
      </c>
      <c r="M367" s="82">
        <f>29.1+19.5+28.5+18.5+19.3+26.4+23.3+28.6+50+12.1+102.4+12.3-1.1</f>
        <v>368.9</v>
      </c>
      <c r="N367" s="82">
        <f>28.5+19.3+26.4+23.3+50+12.1</f>
        <v>159.6</v>
      </c>
      <c r="O367" s="82">
        <f>M367-N367</f>
        <v>209.29999999999998</v>
      </c>
      <c r="P367" s="65">
        <f>M367*34150</f>
        <v>12597935</v>
      </c>
      <c r="Q367" s="81">
        <f>M367*34150*45.8686%</f>
        <v>5778496.41341</v>
      </c>
      <c r="R367" s="81">
        <f>M367*34150*21.4146%</f>
        <v>2697797.38851</v>
      </c>
      <c r="S367" s="81">
        <f>P367-Q367-R367</f>
        <v>4121641.1980800005</v>
      </c>
      <c r="T367" s="81">
        <v>0</v>
      </c>
    </row>
    <row r="368" spans="1:20" ht="31.5">
      <c r="A368" s="54">
        <f>A367+1</f>
        <v>161</v>
      </c>
      <c r="B368" s="93" t="s">
        <v>418</v>
      </c>
      <c r="C368" s="74" t="s">
        <v>583</v>
      </c>
      <c r="D368" s="74" t="s">
        <v>584</v>
      </c>
      <c r="E368" s="130" t="s">
        <v>415</v>
      </c>
      <c r="F368" s="130" t="s">
        <v>252</v>
      </c>
      <c r="G368" s="74">
        <f>5+2+4</f>
        <v>11</v>
      </c>
      <c r="H368" s="74">
        <f aca="true" t="shared" si="115" ref="H368:H394">G368</f>
        <v>11</v>
      </c>
      <c r="I368" s="82">
        <v>105.8</v>
      </c>
      <c r="J368" s="74">
        <v>3</v>
      </c>
      <c r="K368" s="74">
        <v>1</v>
      </c>
      <c r="L368" s="74">
        <f aca="true" t="shared" si="116" ref="L368:L394">J368-K368</f>
        <v>2</v>
      </c>
      <c r="M368" s="82">
        <f>55.5+28.7+21.6</f>
        <v>105.80000000000001</v>
      </c>
      <c r="N368" s="82">
        <v>21.6</v>
      </c>
      <c r="O368" s="82">
        <f aca="true" t="shared" si="117" ref="O368:O394">M368-N368</f>
        <v>84.20000000000002</v>
      </c>
      <c r="P368" s="65">
        <f aca="true" t="shared" si="118" ref="P368:P394">M368*34150</f>
        <v>3613070.0000000005</v>
      </c>
      <c r="Q368" s="81">
        <f aca="true" t="shared" si="119" ref="Q368:Q393">M368*34150*45.8686%</f>
        <v>1657264.62602</v>
      </c>
      <c r="R368" s="81">
        <f aca="true" t="shared" si="120" ref="R368:R393">M368*34150*21.4146%</f>
        <v>773724.48822</v>
      </c>
      <c r="S368" s="81">
        <f aca="true" t="shared" si="121" ref="S368:S394">P368-Q368-R368</f>
        <v>1182080.8857600004</v>
      </c>
      <c r="T368" s="81">
        <v>0</v>
      </c>
    </row>
    <row r="369" spans="1:20" ht="31.5">
      <c r="A369" s="54">
        <f aca="true" t="shared" si="122" ref="A369:A394">A368+1</f>
        <v>162</v>
      </c>
      <c r="B369" s="93" t="s">
        <v>419</v>
      </c>
      <c r="C369" s="74" t="s">
        <v>583</v>
      </c>
      <c r="D369" s="79">
        <v>38042</v>
      </c>
      <c r="E369" s="130" t="s">
        <v>415</v>
      </c>
      <c r="F369" s="130" t="s">
        <v>252</v>
      </c>
      <c r="G369" s="74">
        <v>5</v>
      </c>
      <c r="H369" s="74">
        <f t="shared" si="115"/>
        <v>5</v>
      </c>
      <c r="I369" s="82">
        <v>92.9</v>
      </c>
      <c r="J369" s="74">
        <v>3</v>
      </c>
      <c r="K369" s="74">
        <v>1</v>
      </c>
      <c r="L369" s="74">
        <f t="shared" si="116"/>
        <v>2</v>
      </c>
      <c r="M369" s="82">
        <v>92.9</v>
      </c>
      <c r="N369" s="82">
        <v>21.5</v>
      </c>
      <c r="O369" s="82">
        <f t="shared" si="117"/>
        <v>71.4</v>
      </c>
      <c r="P369" s="65">
        <f t="shared" si="118"/>
        <v>3172535</v>
      </c>
      <c r="Q369" s="81">
        <f t="shared" si="119"/>
        <v>1455197.38901</v>
      </c>
      <c r="R369" s="81">
        <f t="shared" si="120"/>
        <v>679385.68011</v>
      </c>
      <c r="S369" s="81">
        <f t="shared" si="121"/>
        <v>1037951.93088</v>
      </c>
      <c r="T369" s="81">
        <v>0</v>
      </c>
    </row>
    <row r="370" spans="1:20" ht="31.5">
      <c r="A370" s="54">
        <f t="shared" si="122"/>
        <v>163</v>
      </c>
      <c r="B370" s="93" t="s">
        <v>420</v>
      </c>
      <c r="C370" s="74" t="s">
        <v>583</v>
      </c>
      <c r="D370" s="79">
        <v>38042</v>
      </c>
      <c r="E370" s="130" t="s">
        <v>415</v>
      </c>
      <c r="F370" s="130" t="s">
        <v>252</v>
      </c>
      <c r="G370" s="74">
        <v>10</v>
      </c>
      <c r="H370" s="74">
        <f t="shared" si="115"/>
        <v>10</v>
      </c>
      <c r="I370" s="82">
        <v>93.4</v>
      </c>
      <c r="J370" s="74">
        <v>3</v>
      </c>
      <c r="K370" s="74">
        <v>1</v>
      </c>
      <c r="L370" s="74">
        <f t="shared" si="116"/>
        <v>2</v>
      </c>
      <c r="M370" s="82">
        <v>93.4</v>
      </c>
      <c r="N370" s="82">
        <v>24.6</v>
      </c>
      <c r="O370" s="82">
        <f t="shared" si="117"/>
        <v>68.80000000000001</v>
      </c>
      <c r="P370" s="65">
        <f t="shared" si="118"/>
        <v>3189610</v>
      </c>
      <c r="Q370" s="81">
        <f t="shared" si="119"/>
        <v>1463029.45246</v>
      </c>
      <c r="R370" s="81">
        <f t="shared" si="120"/>
        <v>683042.22306</v>
      </c>
      <c r="S370" s="81">
        <f t="shared" si="121"/>
        <v>1043538.32448</v>
      </c>
      <c r="T370" s="81">
        <v>0</v>
      </c>
    </row>
    <row r="371" spans="1:20" ht="31.5">
      <c r="A371" s="54">
        <f t="shared" si="122"/>
        <v>164</v>
      </c>
      <c r="B371" s="93" t="s">
        <v>421</v>
      </c>
      <c r="C371" s="74" t="s">
        <v>583</v>
      </c>
      <c r="D371" s="79">
        <v>38042</v>
      </c>
      <c r="E371" s="130" t="s">
        <v>415</v>
      </c>
      <c r="F371" s="130" t="s">
        <v>252</v>
      </c>
      <c r="G371" s="74">
        <v>5</v>
      </c>
      <c r="H371" s="74">
        <f t="shared" si="115"/>
        <v>5</v>
      </c>
      <c r="I371" s="82">
        <v>94</v>
      </c>
      <c r="J371" s="74">
        <v>2</v>
      </c>
      <c r="K371" s="74">
        <v>1</v>
      </c>
      <c r="L371" s="74">
        <f t="shared" si="116"/>
        <v>1</v>
      </c>
      <c r="M371" s="82">
        <v>94</v>
      </c>
      <c r="N371" s="82">
        <v>46.8</v>
      </c>
      <c r="O371" s="82">
        <f t="shared" si="117"/>
        <v>47.2</v>
      </c>
      <c r="P371" s="65">
        <f t="shared" si="118"/>
        <v>3210100</v>
      </c>
      <c r="Q371" s="81">
        <f t="shared" si="119"/>
        <v>1472427.9286</v>
      </c>
      <c r="R371" s="81">
        <f t="shared" si="120"/>
        <v>687430.0746</v>
      </c>
      <c r="S371" s="81">
        <f t="shared" si="121"/>
        <v>1050241.9967999998</v>
      </c>
      <c r="T371" s="81">
        <v>0</v>
      </c>
    </row>
    <row r="372" spans="1:20" ht="31.5">
      <c r="A372" s="54">
        <f t="shared" si="122"/>
        <v>165</v>
      </c>
      <c r="B372" s="93" t="s">
        <v>422</v>
      </c>
      <c r="C372" s="74" t="s">
        <v>583</v>
      </c>
      <c r="D372" s="79">
        <v>38042</v>
      </c>
      <c r="E372" s="130" t="s">
        <v>415</v>
      </c>
      <c r="F372" s="130" t="s">
        <v>252</v>
      </c>
      <c r="G372" s="74">
        <v>16</v>
      </c>
      <c r="H372" s="74">
        <f t="shared" si="115"/>
        <v>16</v>
      </c>
      <c r="I372" s="82">
        <v>92.1</v>
      </c>
      <c r="J372" s="74">
        <v>4</v>
      </c>
      <c r="K372" s="74">
        <v>4</v>
      </c>
      <c r="L372" s="74">
        <f t="shared" si="116"/>
        <v>0</v>
      </c>
      <c r="M372" s="82">
        <v>92.1</v>
      </c>
      <c r="N372" s="82">
        <v>92.1</v>
      </c>
      <c r="O372" s="82">
        <f t="shared" si="117"/>
        <v>0</v>
      </c>
      <c r="P372" s="65">
        <f t="shared" si="118"/>
        <v>3145215</v>
      </c>
      <c r="Q372" s="81">
        <f t="shared" si="119"/>
        <v>1442666.0874899998</v>
      </c>
      <c r="R372" s="81">
        <f t="shared" si="120"/>
        <v>673535.21139</v>
      </c>
      <c r="S372" s="81">
        <f t="shared" si="121"/>
        <v>1029013.7011200002</v>
      </c>
      <c r="T372" s="81">
        <v>0</v>
      </c>
    </row>
    <row r="373" spans="1:20" ht="31.5">
      <c r="A373" s="54">
        <f t="shared" si="122"/>
        <v>166</v>
      </c>
      <c r="B373" s="93" t="s">
        <v>423</v>
      </c>
      <c r="C373" s="74" t="s">
        <v>583</v>
      </c>
      <c r="D373" s="79">
        <v>38042</v>
      </c>
      <c r="E373" s="130" t="s">
        <v>415</v>
      </c>
      <c r="F373" s="130" t="s">
        <v>252</v>
      </c>
      <c r="G373" s="74">
        <v>12</v>
      </c>
      <c r="H373" s="74">
        <f t="shared" si="115"/>
        <v>12</v>
      </c>
      <c r="I373" s="82">
        <v>94.2</v>
      </c>
      <c r="J373" s="74">
        <v>3</v>
      </c>
      <c r="K373" s="74">
        <v>3</v>
      </c>
      <c r="L373" s="74">
        <f t="shared" si="116"/>
        <v>0</v>
      </c>
      <c r="M373" s="82">
        <v>94.2</v>
      </c>
      <c r="N373" s="82">
        <v>94.2</v>
      </c>
      <c r="O373" s="82">
        <f t="shared" si="117"/>
        <v>0</v>
      </c>
      <c r="P373" s="65">
        <f t="shared" si="118"/>
        <v>3216930</v>
      </c>
      <c r="Q373" s="81">
        <f t="shared" si="119"/>
        <v>1475560.75398</v>
      </c>
      <c r="R373" s="81">
        <f t="shared" si="120"/>
        <v>688892.69178</v>
      </c>
      <c r="S373" s="81">
        <f t="shared" si="121"/>
        <v>1052476.55424</v>
      </c>
      <c r="T373" s="81">
        <v>0</v>
      </c>
    </row>
    <row r="374" spans="1:20" ht="31.5">
      <c r="A374" s="54">
        <f t="shared" si="122"/>
        <v>167</v>
      </c>
      <c r="B374" s="93" t="s">
        <v>424</v>
      </c>
      <c r="C374" s="74" t="s">
        <v>583</v>
      </c>
      <c r="D374" s="79">
        <v>38041</v>
      </c>
      <c r="E374" s="130" t="s">
        <v>415</v>
      </c>
      <c r="F374" s="130" t="s">
        <v>252</v>
      </c>
      <c r="G374" s="74">
        <v>5</v>
      </c>
      <c r="H374" s="74">
        <f t="shared" si="115"/>
        <v>5</v>
      </c>
      <c r="I374" s="82">
        <v>93.3</v>
      </c>
      <c r="J374" s="74">
        <v>2</v>
      </c>
      <c r="K374" s="74">
        <v>2</v>
      </c>
      <c r="L374" s="74">
        <f t="shared" si="116"/>
        <v>0</v>
      </c>
      <c r="M374" s="82">
        <v>93.3</v>
      </c>
      <c r="N374" s="82">
        <v>0</v>
      </c>
      <c r="O374" s="82">
        <f t="shared" si="117"/>
        <v>93.3</v>
      </c>
      <c r="P374" s="65">
        <f t="shared" si="118"/>
        <v>3186195</v>
      </c>
      <c r="Q374" s="81">
        <f t="shared" si="119"/>
        <v>1461463.03977</v>
      </c>
      <c r="R374" s="81">
        <f t="shared" si="120"/>
        <v>682310.91447</v>
      </c>
      <c r="S374" s="81">
        <f t="shared" si="121"/>
        <v>1042421.0457600001</v>
      </c>
      <c r="T374" s="81">
        <v>0</v>
      </c>
    </row>
    <row r="375" spans="1:20" ht="31.5">
      <c r="A375" s="54">
        <f t="shared" si="122"/>
        <v>168</v>
      </c>
      <c r="B375" s="93" t="s">
        <v>425</v>
      </c>
      <c r="C375" s="74" t="s">
        <v>583</v>
      </c>
      <c r="D375" s="79">
        <v>38041</v>
      </c>
      <c r="E375" s="130" t="s">
        <v>415</v>
      </c>
      <c r="F375" s="130" t="s">
        <v>252</v>
      </c>
      <c r="G375" s="74">
        <v>7</v>
      </c>
      <c r="H375" s="74">
        <f t="shared" si="115"/>
        <v>7</v>
      </c>
      <c r="I375" s="82">
        <v>92.9</v>
      </c>
      <c r="J375" s="74">
        <v>1</v>
      </c>
      <c r="K375" s="74">
        <v>0</v>
      </c>
      <c r="L375" s="74">
        <f t="shared" si="116"/>
        <v>1</v>
      </c>
      <c r="M375" s="82">
        <v>45.9</v>
      </c>
      <c r="N375" s="82">
        <v>0</v>
      </c>
      <c r="O375" s="82">
        <f t="shared" si="117"/>
        <v>45.9</v>
      </c>
      <c r="P375" s="65">
        <f t="shared" si="118"/>
        <v>1567485</v>
      </c>
      <c r="Q375" s="81">
        <f t="shared" si="119"/>
        <v>718983.4247099999</v>
      </c>
      <c r="R375" s="81">
        <f t="shared" si="120"/>
        <v>335670.64281</v>
      </c>
      <c r="S375" s="81">
        <f t="shared" si="121"/>
        <v>512830.9324800001</v>
      </c>
      <c r="T375" s="81">
        <v>0</v>
      </c>
    </row>
    <row r="376" spans="1:20" ht="31.5">
      <c r="A376" s="54">
        <f t="shared" si="122"/>
        <v>169</v>
      </c>
      <c r="B376" s="93" t="s">
        <v>426</v>
      </c>
      <c r="C376" s="74" t="s">
        <v>583</v>
      </c>
      <c r="D376" s="79">
        <v>38041</v>
      </c>
      <c r="E376" s="130" t="s">
        <v>415</v>
      </c>
      <c r="F376" s="130" t="s">
        <v>252</v>
      </c>
      <c r="G376" s="74">
        <v>8</v>
      </c>
      <c r="H376" s="74">
        <f t="shared" si="115"/>
        <v>8</v>
      </c>
      <c r="I376" s="82">
        <v>92.6</v>
      </c>
      <c r="J376" s="74">
        <v>2</v>
      </c>
      <c r="K376" s="74">
        <v>1</v>
      </c>
      <c r="L376" s="74">
        <f t="shared" si="116"/>
        <v>1</v>
      </c>
      <c r="M376" s="82">
        <v>92.6</v>
      </c>
      <c r="N376" s="82">
        <v>28.1</v>
      </c>
      <c r="O376" s="82">
        <f t="shared" si="117"/>
        <v>64.5</v>
      </c>
      <c r="P376" s="65">
        <f t="shared" si="118"/>
        <v>3162290</v>
      </c>
      <c r="Q376" s="81">
        <f t="shared" si="119"/>
        <v>1450498.1509399998</v>
      </c>
      <c r="R376" s="81">
        <f t="shared" si="120"/>
        <v>677191.75434</v>
      </c>
      <c r="S376" s="81">
        <f t="shared" si="121"/>
        <v>1034600.0947200002</v>
      </c>
      <c r="T376" s="81">
        <v>0</v>
      </c>
    </row>
    <row r="377" spans="1:20" ht="31.5">
      <c r="A377" s="54">
        <f t="shared" si="122"/>
        <v>170</v>
      </c>
      <c r="B377" s="93" t="s">
        <v>427</v>
      </c>
      <c r="C377" s="74" t="s">
        <v>583</v>
      </c>
      <c r="D377" s="79">
        <v>38041</v>
      </c>
      <c r="E377" s="130" t="s">
        <v>415</v>
      </c>
      <c r="F377" s="130" t="s">
        <v>252</v>
      </c>
      <c r="G377" s="74">
        <v>5</v>
      </c>
      <c r="H377" s="74">
        <f t="shared" si="115"/>
        <v>5</v>
      </c>
      <c r="I377" s="82">
        <v>94.4</v>
      </c>
      <c r="J377" s="74">
        <v>2</v>
      </c>
      <c r="K377" s="74">
        <v>2</v>
      </c>
      <c r="L377" s="74">
        <f t="shared" si="116"/>
        <v>0</v>
      </c>
      <c r="M377" s="82">
        <v>94.4</v>
      </c>
      <c r="N377" s="82">
        <v>94.4</v>
      </c>
      <c r="O377" s="82">
        <f t="shared" si="117"/>
        <v>0</v>
      </c>
      <c r="P377" s="65">
        <f t="shared" si="118"/>
        <v>3223760</v>
      </c>
      <c r="Q377" s="81">
        <f t="shared" si="119"/>
        <v>1478693.5793599999</v>
      </c>
      <c r="R377" s="81">
        <f t="shared" si="120"/>
        <v>690355.30896</v>
      </c>
      <c r="S377" s="81">
        <f t="shared" si="121"/>
        <v>1054711.11168</v>
      </c>
      <c r="T377" s="81">
        <v>0</v>
      </c>
    </row>
    <row r="378" spans="1:20" ht="31.5">
      <c r="A378" s="54">
        <f t="shared" si="122"/>
        <v>171</v>
      </c>
      <c r="B378" s="93" t="s">
        <v>428</v>
      </c>
      <c r="C378" s="74" t="s">
        <v>583</v>
      </c>
      <c r="D378" s="79">
        <v>38041</v>
      </c>
      <c r="E378" s="130" t="s">
        <v>415</v>
      </c>
      <c r="F378" s="130" t="s">
        <v>252</v>
      </c>
      <c r="G378" s="74">
        <v>4</v>
      </c>
      <c r="H378" s="74">
        <f t="shared" si="115"/>
        <v>4</v>
      </c>
      <c r="I378" s="82">
        <v>93</v>
      </c>
      <c r="J378" s="74">
        <v>2</v>
      </c>
      <c r="K378" s="74">
        <v>0</v>
      </c>
      <c r="L378" s="74">
        <f t="shared" si="116"/>
        <v>2</v>
      </c>
      <c r="M378" s="82">
        <v>93</v>
      </c>
      <c r="N378" s="82">
        <v>0</v>
      </c>
      <c r="O378" s="82">
        <f t="shared" si="117"/>
        <v>93</v>
      </c>
      <c r="P378" s="65">
        <f t="shared" si="118"/>
        <v>3175950</v>
      </c>
      <c r="Q378" s="81">
        <f t="shared" si="119"/>
        <v>1456763.8017</v>
      </c>
      <c r="R378" s="81">
        <f t="shared" si="120"/>
        <v>680116.9887</v>
      </c>
      <c r="S378" s="81">
        <f t="shared" si="121"/>
        <v>1039069.2096000001</v>
      </c>
      <c r="T378" s="81">
        <v>0</v>
      </c>
    </row>
    <row r="379" spans="1:20" ht="31.5">
      <c r="A379" s="54">
        <f t="shared" si="122"/>
        <v>172</v>
      </c>
      <c r="B379" s="93" t="s">
        <v>429</v>
      </c>
      <c r="C379" s="74" t="s">
        <v>583</v>
      </c>
      <c r="D379" s="79">
        <v>38041</v>
      </c>
      <c r="E379" s="130" t="s">
        <v>415</v>
      </c>
      <c r="F379" s="130" t="s">
        <v>252</v>
      </c>
      <c r="G379" s="74">
        <v>12</v>
      </c>
      <c r="H379" s="74">
        <f t="shared" si="115"/>
        <v>12</v>
      </c>
      <c r="I379" s="82">
        <v>92.9</v>
      </c>
      <c r="J379" s="74">
        <v>3</v>
      </c>
      <c r="K379" s="74">
        <v>0</v>
      </c>
      <c r="L379" s="74">
        <f t="shared" si="116"/>
        <v>3</v>
      </c>
      <c r="M379" s="82">
        <v>92.9</v>
      </c>
      <c r="N379" s="82">
        <v>0</v>
      </c>
      <c r="O379" s="82">
        <f t="shared" si="117"/>
        <v>92.9</v>
      </c>
      <c r="P379" s="65">
        <f t="shared" si="118"/>
        <v>3172535</v>
      </c>
      <c r="Q379" s="81">
        <f t="shared" si="119"/>
        <v>1455197.38901</v>
      </c>
      <c r="R379" s="81">
        <f t="shared" si="120"/>
        <v>679385.68011</v>
      </c>
      <c r="S379" s="81">
        <f t="shared" si="121"/>
        <v>1037951.93088</v>
      </c>
      <c r="T379" s="81">
        <v>0</v>
      </c>
    </row>
    <row r="380" spans="1:20" ht="31.5">
      <c r="A380" s="54">
        <f t="shared" si="122"/>
        <v>173</v>
      </c>
      <c r="B380" s="93" t="s">
        <v>430</v>
      </c>
      <c r="C380" s="74" t="s">
        <v>583</v>
      </c>
      <c r="D380" s="79">
        <v>38041</v>
      </c>
      <c r="E380" s="130" t="s">
        <v>415</v>
      </c>
      <c r="F380" s="130" t="s">
        <v>252</v>
      </c>
      <c r="G380" s="74">
        <v>8</v>
      </c>
      <c r="H380" s="74">
        <f t="shared" si="115"/>
        <v>8</v>
      </c>
      <c r="I380" s="82">
        <v>94.1</v>
      </c>
      <c r="J380" s="74">
        <v>3</v>
      </c>
      <c r="K380" s="74">
        <v>3</v>
      </c>
      <c r="L380" s="74">
        <f t="shared" si="116"/>
        <v>0</v>
      </c>
      <c r="M380" s="82">
        <v>93</v>
      </c>
      <c r="N380" s="82">
        <v>0</v>
      </c>
      <c r="O380" s="82">
        <f t="shared" si="117"/>
        <v>93</v>
      </c>
      <c r="P380" s="65">
        <f t="shared" si="118"/>
        <v>3175950</v>
      </c>
      <c r="Q380" s="81">
        <f t="shared" si="119"/>
        <v>1456763.8017</v>
      </c>
      <c r="R380" s="81">
        <f t="shared" si="120"/>
        <v>680116.9887</v>
      </c>
      <c r="S380" s="81">
        <f t="shared" si="121"/>
        <v>1039069.2096000001</v>
      </c>
      <c r="T380" s="81">
        <v>0</v>
      </c>
    </row>
    <row r="381" spans="1:20" ht="31.5">
      <c r="A381" s="54">
        <f t="shared" si="122"/>
        <v>174</v>
      </c>
      <c r="B381" s="93" t="s">
        <v>431</v>
      </c>
      <c r="C381" s="74" t="s">
        <v>583</v>
      </c>
      <c r="D381" s="79">
        <v>38039</v>
      </c>
      <c r="E381" s="130" t="s">
        <v>415</v>
      </c>
      <c r="F381" s="130" t="s">
        <v>252</v>
      </c>
      <c r="G381" s="74">
        <f>3</f>
        <v>3</v>
      </c>
      <c r="H381" s="74">
        <f t="shared" si="115"/>
        <v>3</v>
      </c>
      <c r="I381" s="82">
        <v>93</v>
      </c>
      <c r="J381" s="74">
        <v>3</v>
      </c>
      <c r="K381" s="74">
        <v>0</v>
      </c>
      <c r="L381" s="74">
        <f t="shared" si="116"/>
        <v>3</v>
      </c>
      <c r="M381" s="82">
        <v>93</v>
      </c>
      <c r="N381" s="82">
        <v>0</v>
      </c>
      <c r="O381" s="82">
        <f t="shared" si="117"/>
        <v>93</v>
      </c>
      <c r="P381" s="65">
        <f t="shared" si="118"/>
        <v>3175950</v>
      </c>
      <c r="Q381" s="81">
        <f t="shared" si="119"/>
        <v>1456763.8017</v>
      </c>
      <c r="R381" s="81">
        <f t="shared" si="120"/>
        <v>680116.9887</v>
      </c>
      <c r="S381" s="81">
        <f t="shared" si="121"/>
        <v>1039069.2096000001</v>
      </c>
      <c r="T381" s="81">
        <v>0</v>
      </c>
    </row>
    <row r="382" spans="1:20" ht="31.5">
      <c r="A382" s="54">
        <f t="shared" si="122"/>
        <v>175</v>
      </c>
      <c r="B382" s="93" t="s">
        <v>432</v>
      </c>
      <c r="C382" s="74" t="s">
        <v>583</v>
      </c>
      <c r="D382" s="79">
        <v>38039</v>
      </c>
      <c r="E382" s="130" t="s">
        <v>415</v>
      </c>
      <c r="F382" s="130" t="s">
        <v>252</v>
      </c>
      <c r="G382" s="74">
        <v>6</v>
      </c>
      <c r="H382" s="74">
        <f t="shared" si="115"/>
        <v>6</v>
      </c>
      <c r="I382" s="82">
        <v>93.6</v>
      </c>
      <c r="J382" s="74">
        <v>3</v>
      </c>
      <c r="K382" s="74">
        <v>0</v>
      </c>
      <c r="L382" s="74">
        <f t="shared" si="116"/>
        <v>3</v>
      </c>
      <c r="M382" s="82">
        <v>93.6</v>
      </c>
      <c r="N382" s="82">
        <v>0</v>
      </c>
      <c r="O382" s="82">
        <f t="shared" si="117"/>
        <v>93.6</v>
      </c>
      <c r="P382" s="65">
        <f t="shared" si="118"/>
        <v>3196440</v>
      </c>
      <c r="Q382" s="81">
        <f t="shared" si="119"/>
        <v>1466162.2778399999</v>
      </c>
      <c r="R382" s="81">
        <f t="shared" si="120"/>
        <v>684504.84024</v>
      </c>
      <c r="S382" s="81">
        <f t="shared" si="121"/>
        <v>1045772.8819200001</v>
      </c>
      <c r="T382" s="81">
        <v>0</v>
      </c>
    </row>
    <row r="383" spans="1:20" ht="31.5">
      <c r="A383" s="54">
        <f t="shared" si="122"/>
        <v>176</v>
      </c>
      <c r="B383" s="93" t="s">
        <v>433</v>
      </c>
      <c r="C383" s="74" t="s">
        <v>583</v>
      </c>
      <c r="D383" s="79">
        <v>38039</v>
      </c>
      <c r="E383" s="130" t="s">
        <v>415</v>
      </c>
      <c r="F383" s="130" t="s">
        <v>252</v>
      </c>
      <c r="G383" s="74">
        <v>2</v>
      </c>
      <c r="H383" s="74">
        <f t="shared" si="115"/>
        <v>2</v>
      </c>
      <c r="I383" s="82">
        <v>92.7</v>
      </c>
      <c r="J383" s="74">
        <v>2</v>
      </c>
      <c r="K383" s="74">
        <v>1</v>
      </c>
      <c r="L383" s="74">
        <f t="shared" si="116"/>
        <v>1</v>
      </c>
      <c r="M383" s="82">
        <v>92.7</v>
      </c>
      <c r="N383" s="82">
        <v>46.4</v>
      </c>
      <c r="O383" s="82">
        <f t="shared" si="117"/>
        <v>46.300000000000004</v>
      </c>
      <c r="P383" s="65">
        <f t="shared" si="118"/>
        <v>3165705</v>
      </c>
      <c r="Q383" s="81">
        <f t="shared" si="119"/>
        <v>1452064.56363</v>
      </c>
      <c r="R383" s="81">
        <f t="shared" si="120"/>
        <v>677923.06293</v>
      </c>
      <c r="S383" s="81">
        <f t="shared" si="121"/>
        <v>1035717.37344</v>
      </c>
      <c r="T383" s="81">
        <v>0</v>
      </c>
    </row>
    <row r="384" spans="1:20" ht="31.5">
      <c r="A384" s="54">
        <f t="shared" si="122"/>
        <v>177</v>
      </c>
      <c r="B384" s="93" t="s">
        <v>434</v>
      </c>
      <c r="C384" s="74" t="s">
        <v>583</v>
      </c>
      <c r="D384" s="79">
        <v>38039</v>
      </c>
      <c r="E384" s="130" t="s">
        <v>415</v>
      </c>
      <c r="F384" s="130" t="s">
        <v>252</v>
      </c>
      <c r="G384" s="74">
        <v>3</v>
      </c>
      <c r="H384" s="74">
        <f t="shared" si="115"/>
        <v>3</v>
      </c>
      <c r="I384" s="82">
        <v>93.6</v>
      </c>
      <c r="J384" s="74">
        <v>2</v>
      </c>
      <c r="K384" s="74">
        <v>1</v>
      </c>
      <c r="L384" s="74">
        <f t="shared" si="116"/>
        <v>1</v>
      </c>
      <c r="M384" s="82">
        <v>93.6</v>
      </c>
      <c r="N384" s="82">
        <v>14.1</v>
      </c>
      <c r="O384" s="82">
        <f t="shared" si="117"/>
        <v>79.5</v>
      </c>
      <c r="P384" s="65">
        <f t="shared" si="118"/>
        <v>3196440</v>
      </c>
      <c r="Q384" s="81">
        <f t="shared" si="119"/>
        <v>1466162.2778399999</v>
      </c>
      <c r="R384" s="81">
        <f t="shared" si="120"/>
        <v>684504.84024</v>
      </c>
      <c r="S384" s="81">
        <f t="shared" si="121"/>
        <v>1045772.8819200001</v>
      </c>
      <c r="T384" s="81">
        <v>0</v>
      </c>
    </row>
    <row r="385" spans="1:20" ht="31.5">
      <c r="A385" s="54">
        <f t="shared" si="122"/>
        <v>178</v>
      </c>
      <c r="B385" s="93" t="s">
        <v>435</v>
      </c>
      <c r="C385" s="74" t="s">
        <v>583</v>
      </c>
      <c r="D385" s="79">
        <v>38039</v>
      </c>
      <c r="E385" s="130" t="s">
        <v>415</v>
      </c>
      <c r="F385" s="130" t="s">
        <v>252</v>
      </c>
      <c r="G385" s="74">
        <f>3+4</f>
        <v>7</v>
      </c>
      <c r="H385" s="74">
        <f t="shared" si="115"/>
        <v>7</v>
      </c>
      <c r="I385" s="82">
        <v>91.7</v>
      </c>
      <c r="J385" s="74">
        <v>2</v>
      </c>
      <c r="K385" s="74">
        <v>1</v>
      </c>
      <c r="L385" s="74">
        <f t="shared" si="116"/>
        <v>1</v>
      </c>
      <c r="M385" s="82">
        <f>45.5+46.2</f>
        <v>91.7</v>
      </c>
      <c r="N385" s="82">
        <v>46.2</v>
      </c>
      <c r="O385" s="82">
        <f t="shared" si="117"/>
        <v>45.5</v>
      </c>
      <c r="P385" s="65">
        <f t="shared" si="118"/>
        <v>3131555</v>
      </c>
      <c r="Q385" s="81">
        <f t="shared" si="119"/>
        <v>1436400.43673</v>
      </c>
      <c r="R385" s="81">
        <f t="shared" si="120"/>
        <v>670609.9770300001</v>
      </c>
      <c r="S385" s="81">
        <f t="shared" si="121"/>
        <v>1024544.58624</v>
      </c>
      <c r="T385" s="81">
        <v>0</v>
      </c>
    </row>
    <row r="386" spans="1:20" ht="31.5">
      <c r="A386" s="54">
        <f t="shared" si="122"/>
        <v>179</v>
      </c>
      <c r="B386" s="93" t="s">
        <v>436</v>
      </c>
      <c r="C386" s="74" t="s">
        <v>583</v>
      </c>
      <c r="D386" s="79">
        <v>38039</v>
      </c>
      <c r="E386" s="130" t="s">
        <v>415</v>
      </c>
      <c r="F386" s="130" t="s">
        <v>252</v>
      </c>
      <c r="G386" s="74">
        <v>8</v>
      </c>
      <c r="H386" s="74">
        <f t="shared" si="115"/>
        <v>8</v>
      </c>
      <c r="I386" s="82">
        <v>93.6</v>
      </c>
      <c r="J386" s="74">
        <v>2</v>
      </c>
      <c r="K386" s="74">
        <v>0</v>
      </c>
      <c r="L386" s="74">
        <f t="shared" si="116"/>
        <v>2</v>
      </c>
      <c r="M386" s="82">
        <v>93.6</v>
      </c>
      <c r="N386" s="82">
        <v>0</v>
      </c>
      <c r="O386" s="82">
        <f t="shared" si="117"/>
        <v>93.6</v>
      </c>
      <c r="P386" s="65">
        <f t="shared" si="118"/>
        <v>3196440</v>
      </c>
      <c r="Q386" s="81">
        <f t="shared" si="119"/>
        <v>1466162.2778399999</v>
      </c>
      <c r="R386" s="81">
        <f t="shared" si="120"/>
        <v>684504.84024</v>
      </c>
      <c r="S386" s="81">
        <f t="shared" si="121"/>
        <v>1045772.8819200001</v>
      </c>
      <c r="T386" s="81">
        <v>0</v>
      </c>
    </row>
    <row r="387" spans="1:20" ht="31.5">
      <c r="A387" s="54">
        <f t="shared" si="122"/>
        <v>180</v>
      </c>
      <c r="B387" s="93" t="s">
        <v>437</v>
      </c>
      <c r="C387" s="74" t="s">
        <v>583</v>
      </c>
      <c r="D387" s="79">
        <v>38039</v>
      </c>
      <c r="E387" s="130" t="s">
        <v>415</v>
      </c>
      <c r="F387" s="130" t="s">
        <v>252</v>
      </c>
      <c r="G387" s="74">
        <f>1+1</f>
        <v>2</v>
      </c>
      <c r="H387" s="74">
        <f t="shared" si="115"/>
        <v>2</v>
      </c>
      <c r="I387" s="82">
        <v>91.1</v>
      </c>
      <c r="J387" s="74">
        <v>2</v>
      </c>
      <c r="K387" s="74">
        <v>2</v>
      </c>
      <c r="L387" s="74">
        <f t="shared" si="116"/>
        <v>0</v>
      </c>
      <c r="M387" s="82">
        <f>46.1+45</f>
        <v>91.1</v>
      </c>
      <c r="N387" s="82">
        <v>91.1</v>
      </c>
      <c r="O387" s="82">
        <f t="shared" si="117"/>
        <v>0</v>
      </c>
      <c r="P387" s="65">
        <f t="shared" si="118"/>
        <v>3111065</v>
      </c>
      <c r="Q387" s="81">
        <f t="shared" si="119"/>
        <v>1427001.96059</v>
      </c>
      <c r="R387" s="81">
        <f t="shared" si="120"/>
        <v>666222.12549</v>
      </c>
      <c r="S387" s="81">
        <f t="shared" si="121"/>
        <v>1017840.91392</v>
      </c>
      <c r="T387" s="81">
        <v>0</v>
      </c>
    </row>
    <row r="388" spans="1:20" ht="31.5">
      <c r="A388" s="54">
        <f t="shared" si="122"/>
        <v>181</v>
      </c>
      <c r="B388" s="93" t="s">
        <v>438</v>
      </c>
      <c r="C388" s="74" t="s">
        <v>583</v>
      </c>
      <c r="D388" s="79">
        <v>38039</v>
      </c>
      <c r="E388" s="130" t="s">
        <v>415</v>
      </c>
      <c r="F388" s="130" t="s">
        <v>252</v>
      </c>
      <c r="G388" s="74">
        <f>5+3</f>
        <v>8</v>
      </c>
      <c r="H388" s="74">
        <f t="shared" si="115"/>
        <v>8</v>
      </c>
      <c r="I388" s="82">
        <v>93.8</v>
      </c>
      <c r="J388" s="74">
        <v>2</v>
      </c>
      <c r="K388" s="74">
        <v>0</v>
      </c>
      <c r="L388" s="74">
        <f t="shared" si="116"/>
        <v>2</v>
      </c>
      <c r="M388" s="82">
        <v>93.8</v>
      </c>
      <c r="N388" s="82">
        <v>0</v>
      </c>
      <c r="O388" s="82">
        <f t="shared" si="117"/>
        <v>93.8</v>
      </c>
      <c r="P388" s="65">
        <f t="shared" si="118"/>
        <v>3203270</v>
      </c>
      <c r="Q388" s="81">
        <f t="shared" si="119"/>
        <v>1469295.10322</v>
      </c>
      <c r="R388" s="81">
        <f t="shared" si="120"/>
        <v>685967.45742</v>
      </c>
      <c r="S388" s="81">
        <f t="shared" si="121"/>
        <v>1048007.4393600001</v>
      </c>
      <c r="T388" s="81">
        <v>0</v>
      </c>
    </row>
    <row r="389" spans="1:20" ht="31.5">
      <c r="A389" s="54">
        <f t="shared" si="122"/>
        <v>182</v>
      </c>
      <c r="B389" s="93" t="s">
        <v>439</v>
      </c>
      <c r="C389" s="74" t="s">
        <v>583</v>
      </c>
      <c r="D389" s="79">
        <v>38039</v>
      </c>
      <c r="E389" s="130" t="s">
        <v>415</v>
      </c>
      <c r="F389" s="130" t="s">
        <v>252</v>
      </c>
      <c r="G389" s="74">
        <f>4+3</f>
        <v>7</v>
      </c>
      <c r="H389" s="74">
        <f t="shared" si="115"/>
        <v>7</v>
      </c>
      <c r="I389" s="82">
        <v>97.9</v>
      </c>
      <c r="J389" s="74">
        <v>2</v>
      </c>
      <c r="K389" s="74">
        <v>0</v>
      </c>
      <c r="L389" s="74">
        <f t="shared" si="116"/>
        <v>2</v>
      </c>
      <c r="M389" s="82">
        <v>97.9</v>
      </c>
      <c r="N389" s="82">
        <v>0</v>
      </c>
      <c r="O389" s="82">
        <f t="shared" si="117"/>
        <v>97.9</v>
      </c>
      <c r="P389" s="65">
        <f t="shared" si="118"/>
        <v>3343285</v>
      </c>
      <c r="Q389" s="81">
        <f t="shared" si="119"/>
        <v>1533518.02351</v>
      </c>
      <c r="R389" s="81">
        <f t="shared" si="120"/>
        <v>715951.10961</v>
      </c>
      <c r="S389" s="81">
        <f t="shared" si="121"/>
        <v>1093815.86688</v>
      </c>
      <c r="T389" s="81">
        <v>0</v>
      </c>
    </row>
    <row r="390" spans="1:20" ht="31.5">
      <c r="A390" s="54">
        <f t="shared" si="122"/>
        <v>183</v>
      </c>
      <c r="B390" s="93" t="s">
        <v>440</v>
      </c>
      <c r="C390" s="74" t="s">
        <v>583</v>
      </c>
      <c r="D390" s="79">
        <v>38039</v>
      </c>
      <c r="E390" s="130" t="s">
        <v>415</v>
      </c>
      <c r="F390" s="130" t="s">
        <v>252</v>
      </c>
      <c r="G390" s="74">
        <f>4+4</f>
        <v>8</v>
      </c>
      <c r="H390" s="74">
        <f t="shared" si="115"/>
        <v>8</v>
      </c>
      <c r="I390" s="82">
        <v>94.4</v>
      </c>
      <c r="J390" s="74">
        <v>2</v>
      </c>
      <c r="K390" s="74">
        <v>0</v>
      </c>
      <c r="L390" s="74">
        <f t="shared" si="116"/>
        <v>2</v>
      </c>
      <c r="M390" s="82">
        <v>94.4</v>
      </c>
      <c r="N390" s="82">
        <v>0</v>
      </c>
      <c r="O390" s="82">
        <f t="shared" si="117"/>
        <v>94.4</v>
      </c>
      <c r="P390" s="65">
        <f t="shared" si="118"/>
        <v>3223760</v>
      </c>
      <c r="Q390" s="81">
        <f t="shared" si="119"/>
        <v>1478693.5793599999</v>
      </c>
      <c r="R390" s="81">
        <f t="shared" si="120"/>
        <v>690355.30896</v>
      </c>
      <c r="S390" s="81">
        <f t="shared" si="121"/>
        <v>1054711.11168</v>
      </c>
      <c r="T390" s="81">
        <v>0</v>
      </c>
    </row>
    <row r="391" spans="1:20" ht="31.5">
      <c r="A391" s="54">
        <f t="shared" si="122"/>
        <v>184</v>
      </c>
      <c r="B391" s="97" t="s">
        <v>441</v>
      </c>
      <c r="C391" s="74" t="s">
        <v>583</v>
      </c>
      <c r="D391" s="79">
        <v>38039</v>
      </c>
      <c r="E391" s="130" t="s">
        <v>415</v>
      </c>
      <c r="F391" s="130" t="s">
        <v>252</v>
      </c>
      <c r="G391" s="74">
        <v>7</v>
      </c>
      <c r="H391" s="74">
        <f t="shared" si="115"/>
        <v>7</v>
      </c>
      <c r="I391" s="82">
        <v>111.3</v>
      </c>
      <c r="J391" s="33">
        <v>2</v>
      </c>
      <c r="K391" s="33">
        <v>0</v>
      </c>
      <c r="L391" s="74">
        <f t="shared" si="116"/>
        <v>2</v>
      </c>
      <c r="M391" s="82">
        <v>111.3</v>
      </c>
      <c r="N391" s="82">
        <v>0</v>
      </c>
      <c r="O391" s="82">
        <f t="shared" si="117"/>
        <v>111.3</v>
      </c>
      <c r="P391" s="65">
        <f t="shared" si="118"/>
        <v>3800895</v>
      </c>
      <c r="Q391" s="81">
        <f t="shared" si="119"/>
        <v>1743417.32397</v>
      </c>
      <c r="R391" s="81">
        <f t="shared" si="120"/>
        <v>813946.4606700001</v>
      </c>
      <c r="S391" s="81">
        <f t="shared" si="121"/>
        <v>1243531.2153599998</v>
      </c>
      <c r="T391" s="81">
        <v>0</v>
      </c>
    </row>
    <row r="392" spans="1:20" ht="31.5">
      <c r="A392" s="54">
        <f t="shared" si="122"/>
        <v>185</v>
      </c>
      <c r="B392" s="97" t="s">
        <v>442</v>
      </c>
      <c r="C392" s="74" t="s">
        <v>583</v>
      </c>
      <c r="D392" s="79">
        <v>38039</v>
      </c>
      <c r="E392" s="130" t="s">
        <v>415</v>
      </c>
      <c r="F392" s="130" t="s">
        <v>252</v>
      </c>
      <c r="G392" s="74">
        <v>8</v>
      </c>
      <c r="H392" s="74">
        <f t="shared" si="115"/>
        <v>8</v>
      </c>
      <c r="I392" s="82">
        <v>111.3</v>
      </c>
      <c r="J392" s="33">
        <v>2</v>
      </c>
      <c r="K392" s="33">
        <v>0</v>
      </c>
      <c r="L392" s="74">
        <f t="shared" si="116"/>
        <v>2</v>
      </c>
      <c r="M392" s="82">
        <v>111.3</v>
      </c>
      <c r="N392" s="82">
        <v>0</v>
      </c>
      <c r="O392" s="82">
        <f t="shared" si="117"/>
        <v>111.3</v>
      </c>
      <c r="P392" s="65">
        <f t="shared" si="118"/>
        <v>3800895</v>
      </c>
      <c r="Q392" s="81">
        <f t="shared" si="119"/>
        <v>1743417.32397</v>
      </c>
      <c r="R392" s="81">
        <f t="shared" si="120"/>
        <v>813946.4606700001</v>
      </c>
      <c r="S392" s="81">
        <f t="shared" si="121"/>
        <v>1243531.2153599998</v>
      </c>
      <c r="T392" s="81">
        <v>0</v>
      </c>
    </row>
    <row r="393" spans="1:20" ht="31.5">
      <c r="A393" s="54">
        <f t="shared" si="122"/>
        <v>186</v>
      </c>
      <c r="B393" s="97" t="s">
        <v>443</v>
      </c>
      <c r="C393" s="74" t="s">
        <v>583</v>
      </c>
      <c r="D393" s="79">
        <v>38039</v>
      </c>
      <c r="E393" s="130" t="s">
        <v>415</v>
      </c>
      <c r="F393" s="130" t="s">
        <v>252</v>
      </c>
      <c r="G393" s="74">
        <v>6</v>
      </c>
      <c r="H393" s="74">
        <f t="shared" si="115"/>
        <v>6</v>
      </c>
      <c r="I393" s="82">
        <v>111.3</v>
      </c>
      <c r="J393" s="33">
        <v>2</v>
      </c>
      <c r="K393" s="33">
        <v>0</v>
      </c>
      <c r="L393" s="74">
        <f t="shared" si="116"/>
        <v>2</v>
      </c>
      <c r="M393" s="82">
        <v>111.3</v>
      </c>
      <c r="N393" s="82">
        <v>0</v>
      </c>
      <c r="O393" s="82">
        <f t="shared" si="117"/>
        <v>111.3</v>
      </c>
      <c r="P393" s="65">
        <f t="shared" si="118"/>
        <v>3800895</v>
      </c>
      <c r="Q393" s="81">
        <f t="shared" si="119"/>
        <v>1743417.32397</v>
      </c>
      <c r="R393" s="81">
        <f t="shared" si="120"/>
        <v>813946.4606700001</v>
      </c>
      <c r="S393" s="81">
        <f t="shared" si="121"/>
        <v>1243531.2153599998</v>
      </c>
      <c r="T393" s="81">
        <v>0</v>
      </c>
    </row>
    <row r="394" spans="1:20" ht="31.5">
      <c r="A394" s="54">
        <f t="shared" si="122"/>
        <v>187</v>
      </c>
      <c r="B394" s="97" t="s">
        <v>444</v>
      </c>
      <c r="C394" s="74" t="s">
        <v>583</v>
      </c>
      <c r="D394" s="79">
        <v>38039</v>
      </c>
      <c r="E394" s="130" t="s">
        <v>415</v>
      </c>
      <c r="F394" s="130" t="s">
        <v>252</v>
      </c>
      <c r="G394" s="74">
        <v>5</v>
      </c>
      <c r="H394" s="74">
        <f t="shared" si="115"/>
        <v>5</v>
      </c>
      <c r="I394" s="82">
        <v>111.3</v>
      </c>
      <c r="J394" s="33">
        <v>2</v>
      </c>
      <c r="K394" s="33">
        <v>0</v>
      </c>
      <c r="L394" s="74">
        <f t="shared" si="116"/>
        <v>2</v>
      </c>
      <c r="M394" s="82">
        <v>111.3</v>
      </c>
      <c r="N394" s="82">
        <v>0</v>
      </c>
      <c r="O394" s="82">
        <f t="shared" si="117"/>
        <v>111.3</v>
      </c>
      <c r="P394" s="65">
        <f t="shared" si="118"/>
        <v>3800895</v>
      </c>
      <c r="Q394" s="81">
        <f>M394*34150*45.8686%+0.59</f>
        <v>1743417.91397</v>
      </c>
      <c r="R394" s="81">
        <f>M394*34150*21.4146%-2.42</f>
        <v>813944.04067</v>
      </c>
      <c r="S394" s="81">
        <f t="shared" si="121"/>
        <v>1243533.0453599999</v>
      </c>
      <c r="T394" s="81">
        <v>0</v>
      </c>
    </row>
    <row r="395" spans="1:20" ht="15.75">
      <c r="A395" s="148" t="s">
        <v>445</v>
      </c>
      <c r="B395" s="148"/>
      <c r="C395" s="58"/>
      <c r="D395" s="58"/>
      <c r="E395" s="58"/>
      <c r="F395" s="58"/>
      <c r="G395" s="58">
        <f>SUM(G396:G408)</f>
        <v>148</v>
      </c>
      <c r="H395" s="58">
        <f aca="true" t="shared" si="123" ref="H395:T395">SUM(H396:H408)</f>
        <v>148</v>
      </c>
      <c r="I395" s="59">
        <f t="shared" si="123"/>
        <v>2183.9</v>
      </c>
      <c r="J395" s="58">
        <f t="shared" si="123"/>
        <v>55</v>
      </c>
      <c r="K395" s="58">
        <f t="shared" si="123"/>
        <v>26</v>
      </c>
      <c r="L395" s="58">
        <f t="shared" si="123"/>
        <v>29</v>
      </c>
      <c r="M395" s="59">
        <f t="shared" si="123"/>
        <v>1823.7999999999997</v>
      </c>
      <c r="N395" s="59">
        <f t="shared" si="123"/>
        <v>806.4</v>
      </c>
      <c r="O395" s="59">
        <f t="shared" si="123"/>
        <v>1017.4000000000001</v>
      </c>
      <c r="P395" s="65">
        <f t="shared" si="123"/>
        <v>62282770</v>
      </c>
      <c r="Q395" s="65">
        <f t="shared" si="123"/>
        <v>29698999.999614168</v>
      </c>
      <c r="R395" s="65">
        <f t="shared" si="123"/>
        <v>26312499.999605805</v>
      </c>
      <c r="S395" s="65">
        <f t="shared" si="123"/>
        <v>6271270.000780027</v>
      </c>
      <c r="T395" s="65">
        <f t="shared" si="123"/>
        <v>0</v>
      </c>
    </row>
    <row r="396" spans="1:20" ht="47.25">
      <c r="A396" s="43">
        <v>188</v>
      </c>
      <c r="B396" s="47" t="s">
        <v>446</v>
      </c>
      <c r="C396" s="71">
        <v>24</v>
      </c>
      <c r="D396" s="72">
        <v>40826</v>
      </c>
      <c r="E396" s="130" t="s">
        <v>415</v>
      </c>
      <c r="F396" s="130" t="s">
        <v>252</v>
      </c>
      <c r="G396" s="58">
        <v>8</v>
      </c>
      <c r="H396" s="58">
        <v>8</v>
      </c>
      <c r="I396" s="59">
        <v>132</v>
      </c>
      <c r="J396" s="71">
        <v>4</v>
      </c>
      <c r="K396" s="71">
        <v>3</v>
      </c>
      <c r="L396" s="71">
        <v>1</v>
      </c>
      <c r="M396" s="59">
        <v>132</v>
      </c>
      <c r="N396" s="59">
        <v>98.3</v>
      </c>
      <c r="O396" s="73">
        <v>33.7</v>
      </c>
      <c r="P396" s="84">
        <f>M396*34150</f>
        <v>4507800</v>
      </c>
      <c r="Q396" s="83">
        <f>P396*0.47684134793</f>
        <v>2149505.428198854</v>
      </c>
      <c r="R396" s="83">
        <f>P396*0.42246836484</f>
        <v>1904402.895025752</v>
      </c>
      <c r="S396" s="83">
        <f>P396-Q396-R396</f>
        <v>453891.676775394</v>
      </c>
      <c r="T396" s="83">
        <v>0</v>
      </c>
    </row>
    <row r="397" spans="1:20" ht="31.5">
      <c r="A397" s="43">
        <f>A396+1</f>
        <v>189</v>
      </c>
      <c r="B397" s="47" t="s">
        <v>448</v>
      </c>
      <c r="C397" s="71">
        <v>26</v>
      </c>
      <c r="D397" s="72">
        <v>40826</v>
      </c>
      <c r="E397" s="130" t="s">
        <v>415</v>
      </c>
      <c r="F397" s="130" t="s">
        <v>252</v>
      </c>
      <c r="G397" s="58">
        <v>1</v>
      </c>
      <c r="H397" s="58">
        <v>1</v>
      </c>
      <c r="I397" s="59">
        <v>60</v>
      </c>
      <c r="J397" s="71">
        <v>1</v>
      </c>
      <c r="K397" s="71">
        <v>0</v>
      </c>
      <c r="L397" s="71">
        <v>1</v>
      </c>
      <c r="M397" s="59">
        <v>30.5</v>
      </c>
      <c r="N397" s="59">
        <v>0</v>
      </c>
      <c r="O397" s="73">
        <v>30.5</v>
      </c>
      <c r="P397" s="84">
        <f aca="true" t="shared" si="124" ref="P397:P408">M397*34150</f>
        <v>1041575</v>
      </c>
      <c r="Q397" s="83">
        <f aca="true" t="shared" si="125" ref="Q397:Q408">P397*0.47684134793</f>
        <v>496666.02697018976</v>
      </c>
      <c r="R397" s="83">
        <f aca="true" t="shared" si="126" ref="R397:R408">P397*0.42246836484</f>
        <v>440032.487108223</v>
      </c>
      <c r="S397" s="83">
        <f aca="true" t="shared" si="127" ref="S397:S408">P397-Q397-R397</f>
        <v>104876.48592158721</v>
      </c>
      <c r="T397" s="83">
        <v>0</v>
      </c>
    </row>
    <row r="398" spans="1:20" ht="31.5">
      <c r="A398" s="43">
        <f aca="true" t="shared" si="128" ref="A398:A408">A397+1</f>
        <v>190</v>
      </c>
      <c r="B398" s="47" t="s">
        <v>449</v>
      </c>
      <c r="C398" s="71">
        <v>27</v>
      </c>
      <c r="D398" s="72">
        <v>40826</v>
      </c>
      <c r="E398" s="130" t="s">
        <v>415</v>
      </c>
      <c r="F398" s="130" t="s">
        <v>252</v>
      </c>
      <c r="G398" s="58">
        <v>3</v>
      </c>
      <c r="H398" s="58">
        <v>3</v>
      </c>
      <c r="I398" s="59">
        <v>46.4</v>
      </c>
      <c r="J398" s="71">
        <v>2</v>
      </c>
      <c r="K398" s="71">
        <v>0</v>
      </c>
      <c r="L398" s="71">
        <v>2</v>
      </c>
      <c r="M398" s="59">
        <v>46.4</v>
      </c>
      <c r="N398" s="59">
        <v>0</v>
      </c>
      <c r="O398" s="73">
        <v>46.4</v>
      </c>
      <c r="P398" s="84">
        <f t="shared" si="124"/>
        <v>1584560</v>
      </c>
      <c r="Q398" s="83">
        <f t="shared" si="125"/>
        <v>755583.7262759608</v>
      </c>
      <c r="R398" s="83">
        <f t="shared" si="126"/>
        <v>669426.4721908704</v>
      </c>
      <c r="S398" s="83">
        <f t="shared" si="127"/>
        <v>159549.80153316876</v>
      </c>
      <c r="T398" s="83">
        <v>0</v>
      </c>
    </row>
    <row r="399" spans="1:20" ht="31.5">
      <c r="A399" s="43">
        <f t="shared" si="128"/>
        <v>191</v>
      </c>
      <c r="B399" s="47" t="s">
        <v>450</v>
      </c>
      <c r="C399" s="71">
        <v>29</v>
      </c>
      <c r="D399" s="72">
        <v>40826</v>
      </c>
      <c r="E399" s="130" t="s">
        <v>415</v>
      </c>
      <c r="F399" s="130" t="s">
        <v>252</v>
      </c>
      <c r="G399" s="58">
        <v>9</v>
      </c>
      <c r="H399" s="58">
        <v>9</v>
      </c>
      <c r="I399" s="59">
        <v>89.6</v>
      </c>
      <c r="J399" s="71">
        <v>2</v>
      </c>
      <c r="K399" s="71">
        <v>0</v>
      </c>
      <c r="L399" s="71">
        <v>2</v>
      </c>
      <c r="M399" s="59">
        <v>89.6</v>
      </c>
      <c r="N399" s="59">
        <v>0</v>
      </c>
      <c r="O399" s="73">
        <v>89.6</v>
      </c>
      <c r="P399" s="84">
        <f t="shared" si="124"/>
        <v>3059840</v>
      </c>
      <c r="Q399" s="83">
        <f t="shared" si="125"/>
        <v>1459058.2300501312</v>
      </c>
      <c r="R399" s="83">
        <f t="shared" si="126"/>
        <v>1292685.6014720255</v>
      </c>
      <c r="S399" s="83">
        <f t="shared" si="127"/>
        <v>308096.1684778433</v>
      </c>
      <c r="T399" s="83">
        <v>0</v>
      </c>
    </row>
    <row r="400" spans="1:20" ht="31.5">
      <c r="A400" s="43">
        <f t="shared" si="128"/>
        <v>192</v>
      </c>
      <c r="B400" s="47" t="s">
        <v>451</v>
      </c>
      <c r="C400" s="71">
        <v>28</v>
      </c>
      <c r="D400" s="72">
        <v>40826</v>
      </c>
      <c r="E400" s="130" t="s">
        <v>415</v>
      </c>
      <c r="F400" s="130" t="s">
        <v>252</v>
      </c>
      <c r="G400" s="58">
        <v>15</v>
      </c>
      <c r="H400" s="58">
        <v>15</v>
      </c>
      <c r="I400" s="59">
        <v>120.4</v>
      </c>
      <c r="J400" s="71">
        <v>4</v>
      </c>
      <c r="K400" s="71">
        <v>3</v>
      </c>
      <c r="L400" s="71">
        <v>1</v>
      </c>
      <c r="M400" s="59">
        <v>120.4</v>
      </c>
      <c r="N400" s="59">
        <v>80.8</v>
      </c>
      <c r="O400" s="73">
        <v>39.6</v>
      </c>
      <c r="P400" s="84">
        <f t="shared" si="124"/>
        <v>4111660</v>
      </c>
      <c r="Q400" s="83">
        <f t="shared" si="125"/>
        <v>1960609.4966298637</v>
      </c>
      <c r="R400" s="83">
        <f t="shared" si="126"/>
        <v>1737046.2769780343</v>
      </c>
      <c r="S400" s="83">
        <f t="shared" si="127"/>
        <v>414004.22639210173</v>
      </c>
      <c r="T400" s="83">
        <v>0</v>
      </c>
    </row>
    <row r="401" spans="1:20" ht="31.5">
      <c r="A401" s="43">
        <f t="shared" si="128"/>
        <v>193</v>
      </c>
      <c r="B401" s="47" t="s">
        <v>452</v>
      </c>
      <c r="C401" s="71">
        <v>30</v>
      </c>
      <c r="D401" s="72">
        <v>40826</v>
      </c>
      <c r="E401" s="130" t="s">
        <v>415</v>
      </c>
      <c r="F401" s="130" t="s">
        <v>252</v>
      </c>
      <c r="G401" s="58">
        <v>32</v>
      </c>
      <c r="H401" s="58">
        <v>32</v>
      </c>
      <c r="I401" s="59">
        <v>634.3</v>
      </c>
      <c r="J401" s="71">
        <v>9</v>
      </c>
      <c r="K401" s="71">
        <v>1</v>
      </c>
      <c r="L401" s="71">
        <v>8</v>
      </c>
      <c r="M401" s="59">
        <v>303.7</v>
      </c>
      <c r="N401" s="59">
        <v>35.9</v>
      </c>
      <c r="O401" s="73">
        <v>267.8</v>
      </c>
      <c r="P401" s="84">
        <f t="shared" si="124"/>
        <v>10371355</v>
      </c>
      <c r="Q401" s="83">
        <f t="shared" si="125"/>
        <v>4945490.898060545</v>
      </c>
      <c r="R401" s="83">
        <f t="shared" si="126"/>
        <v>4381569.388025158</v>
      </c>
      <c r="S401" s="83">
        <f t="shared" si="127"/>
        <v>1044294.7139142966</v>
      </c>
      <c r="T401" s="83">
        <v>0</v>
      </c>
    </row>
    <row r="402" spans="1:20" ht="31.5">
      <c r="A402" s="43">
        <f t="shared" si="128"/>
        <v>194</v>
      </c>
      <c r="B402" s="47" t="s">
        <v>453</v>
      </c>
      <c r="C402" s="71">
        <v>31</v>
      </c>
      <c r="D402" s="72">
        <v>40826</v>
      </c>
      <c r="E402" s="130" t="s">
        <v>415</v>
      </c>
      <c r="F402" s="130" t="s">
        <v>252</v>
      </c>
      <c r="G402" s="58">
        <v>13</v>
      </c>
      <c r="H402" s="58">
        <v>13</v>
      </c>
      <c r="I402" s="59">
        <v>165.4</v>
      </c>
      <c r="J402" s="71">
        <v>6</v>
      </c>
      <c r="K402" s="71">
        <v>5</v>
      </c>
      <c r="L402" s="71">
        <v>1</v>
      </c>
      <c r="M402" s="59">
        <v>165.4</v>
      </c>
      <c r="N402" s="59">
        <v>145.4</v>
      </c>
      <c r="O402" s="73">
        <v>20</v>
      </c>
      <c r="P402" s="84">
        <f t="shared" si="124"/>
        <v>5648410</v>
      </c>
      <c r="Q402" s="83">
        <f t="shared" si="125"/>
        <v>2693395.4380612914</v>
      </c>
      <c r="R402" s="83">
        <f t="shared" si="126"/>
        <v>2386274.536645904</v>
      </c>
      <c r="S402" s="83">
        <f t="shared" si="127"/>
        <v>568740.0252928045</v>
      </c>
      <c r="T402" s="83">
        <v>0</v>
      </c>
    </row>
    <row r="403" spans="1:20" ht="31.5">
      <c r="A403" s="43">
        <f t="shared" si="128"/>
        <v>195</v>
      </c>
      <c r="B403" s="47" t="s">
        <v>454</v>
      </c>
      <c r="C403" s="71">
        <v>32</v>
      </c>
      <c r="D403" s="72">
        <v>40826</v>
      </c>
      <c r="E403" s="130" t="s">
        <v>415</v>
      </c>
      <c r="F403" s="130" t="s">
        <v>252</v>
      </c>
      <c r="G403" s="58">
        <v>10</v>
      </c>
      <c r="H403" s="58">
        <v>10</v>
      </c>
      <c r="I403" s="59">
        <v>148.7</v>
      </c>
      <c r="J403" s="71">
        <v>5</v>
      </c>
      <c r="K403" s="71">
        <v>3</v>
      </c>
      <c r="L403" s="71">
        <v>2</v>
      </c>
      <c r="M403" s="59">
        <v>148.7</v>
      </c>
      <c r="N403" s="59">
        <v>90.2</v>
      </c>
      <c r="O403" s="73">
        <v>58.5</v>
      </c>
      <c r="P403" s="84">
        <f t="shared" si="124"/>
        <v>5078105</v>
      </c>
      <c r="Q403" s="83">
        <f t="shared" si="125"/>
        <v>2421450.4331300724</v>
      </c>
      <c r="R403" s="83">
        <f t="shared" si="126"/>
        <v>2145338.7158358283</v>
      </c>
      <c r="S403" s="83">
        <f t="shared" si="127"/>
        <v>511315.85103409924</v>
      </c>
      <c r="T403" s="83">
        <v>0</v>
      </c>
    </row>
    <row r="404" spans="1:20" ht="31.5">
      <c r="A404" s="43">
        <f t="shared" si="128"/>
        <v>196</v>
      </c>
      <c r="B404" s="47" t="s">
        <v>455</v>
      </c>
      <c r="C404" s="71">
        <v>33</v>
      </c>
      <c r="D404" s="72">
        <v>40826</v>
      </c>
      <c r="E404" s="130" t="s">
        <v>415</v>
      </c>
      <c r="F404" s="130" t="s">
        <v>252</v>
      </c>
      <c r="G404" s="58">
        <v>14</v>
      </c>
      <c r="H404" s="58">
        <v>14</v>
      </c>
      <c r="I404" s="59">
        <v>158.4</v>
      </c>
      <c r="J404" s="71">
        <v>4</v>
      </c>
      <c r="K404" s="71">
        <v>0</v>
      </c>
      <c r="L404" s="71">
        <v>4</v>
      </c>
      <c r="M404" s="59">
        <v>158.4</v>
      </c>
      <c r="N404" s="59">
        <v>0</v>
      </c>
      <c r="O404" s="73">
        <v>158.4</v>
      </c>
      <c r="P404" s="84">
        <f t="shared" si="124"/>
        <v>5409360</v>
      </c>
      <c r="Q404" s="83">
        <f t="shared" si="125"/>
        <v>2579406.5138386246</v>
      </c>
      <c r="R404" s="83">
        <f t="shared" si="126"/>
        <v>2285283.4740309026</v>
      </c>
      <c r="S404" s="83">
        <f t="shared" si="127"/>
        <v>544670.0121304728</v>
      </c>
      <c r="T404" s="83">
        <v>0</v>
      </c>
    </row>
    <row r="405" spans="1:20" ht="31.5">
      <c r="A405" s="43">
        <f t="shared" si="128"/>
        <v>197</v>
      </c>
      <c r="B405" s="47" t="s">
        <v>456</v>
      </c>
      <c r="C405" s="71">
        <v>36</v>
      </c>
      <c r="D405" s="72">
        <v>40826</v>
      </c>
      <c r="E405" s="130" t="s">
        <v>415</v>
      </c>
      <c r="F405" s="130" t="s">
        <v>252</v>
      </c>
      <c r="G405" s="58">
        <v>11</v>
      </c>
      <c r="H405" s="58">
        <v>11</v>
      </c>
      <c r="I405" s="59">
        <v>173.3</v>
      </c>
      <c r="J405" s="71">
        <v>4</v>
      </c>
      <c r="K405" s="71">
        <v>4</v>
      </c>
      <c r="L405" s="71">
        <v>0</v>
      </c>
      <c r="M405" s="59">
        <v>173.3</v>
      </c>
      <c r="N405" s="59">
        <v>173.3</v>
      </c>
      <c r="O405" s="73">
        <v>0</v>
      </c>
      <c r="P405" s="84">
        <f t="shared" si="124"/>
        <v>5918195</v>
      </c>
      <c r="Q405" s="83">
        <f t="shared" si="125"/>
        <v>2822040.0811125864</v>
      </c>
      <c r="R405" s="83">
        <f t="shared" si="126"/>
        <v>2500250.1644542636</v>
      </c>
      <c r="S405" s="83">
        <f t="shared" si="127"/>
        <v>595904.7544331499</v>
      </c>
      <c r="T405" s="83">
        <v>0</v>
      </c>
    </row>
    <row r="406" spans="1:20" ht="31.5">
      <c r="A406" s="43">
        <f t="shared" si="128"/>
        <v>198</v>
      </c>
      <c r="B406" s="47" t="s">
        <v>457</v>
      </c>
      <c r="C406" s="71">
        <v>35</v>
      </c>
      <c r="D406" s="72">
        <v>40826</v>
      </c>
      <c r="E406" s="130" t="s">
        <v>415</v>
      </c>
      <c r="F406" s="130" t="s">
        <v>252</v>
      </c>
      <c r="G406" s="58">
        <v>6</v>
      </c>
      <c r="H406" s="58">
        <v>6</v>
      </c>
      <c r="I406" s="59">
        <v>72</v>
      </c>
      <c r="J406" s="71">
        <v>3</v>
      </c>
      <c r="K406" s="71">
        <v>3</v>
      </c>
      <c r="L406" s="71">
        <v>0</v>
      </c>
      <c r="M406" s="59">
        <v>72</v>
      </c>
      <c r="N406" s="59">
        <v>72</v>
      </c>
      <c r="O406" s="73">
        <v>0</v>
      </c>
      <c r="P406" s="84">
        <f t="shared" si="124"/>
        <v>2458800</v>
      </c>
      <c r="Q406" s="83">
        <f t="shared" si="125"/>
        <v>1172457.506290284</v>
      </c>
      <c r="R406" s="83">
        <f t="shared" si="126"/>
        <v>1038765.215468592</v>
      </c>
      <c r="S406" s="83">
        <f t="shared" si="127"/>
        <v>247577.278241124</v>
      </c>
      <c r="T406" s="83">
        <v>0</v>
      </c>
    </row>
    <row r="407" spans="1:20" ht="31.5">
      <c r="A407" s="43">
        <f t="shared" si="128"/>
        <v>199</v>
      </c>
      <c r="B407" s="47" t="s">
        <v>458</v>
      </c>
      <c r="C407" s="71">
        <v>34</v>
      </c>
      <c r="D407" s="72">
        <v>40826</v>
      </c>
      <c r="E407" s="130" t="s">
        <v>415</v>
      </c>
      <c r="F407" s="130" t="s">
        <v>252</v>
      </c>
      <c r="G407" s="58">
        <v>10</v>
      </c>
      <c r="H407" s="58">
        <v>10</v>
      </c>
      <c r="I407" s="59">
        <v>234.1</v>
      </c>
      <c r="J407" s="71">
        <v>7</v>
      </c>
      <c r="K407" s="71">
        <v>4</v>
      </c>
      <c r="L407" s="71">
        <v>3</v>
      </c>
      <c r="M407" s="59">
        <v>234.1</v>
      </c>
      <c r="N407" s="59">
        <v>110.5</v>
      </c>
      <c r="O407" s="73">
        <v>123.6</v>
      </c>
      <c r="P407" s="84">
        <f t="shared" si="124"/>
        <v>7994515</v>
      </c>
      <c r="Q407" s="83">
        <f t="shared" si="125"/>
        <v>3812115.308646604</v>
      </c>
      <c r="R407" s="83">
        <f t="shared" si="126"/>
        <v>3377429.6797388527</v>
      </c>
      <c r="S407" s="83">
        <f t="shared" si="127"/>
        <v>804970.0116145434</v>
      </c>
      <c r="T407" s="83">
        <v>0</v>
      </c>
    </row>
    <row r="408" spans="1:20" ht="31.5">
      <c r="A408" s="43">
        <f t="shared" si="128"/>
        <v>200</v>
      </c>
      <c r="B408" s="47" t="s">
        <v>706</v>
      </c>
      <c r="C408" s="71">
        <v>37</v>
      </c>
      <c r="D408" s="72">
        <v>40826</v>
      </c>
      <c r="E408" s="130" t="s">
        <v>415</v>
      </c>
      <c r="F408" s="130" t="s">
        <v>252</v>
      </c>
      <c r="G408" s="58">
        <v>16</v>
      </c>
      <c r="H408" s="58">
        <v>16</v>
      </c>
      <c r="I408" s="59">
        <v>149.3</v>
      </c>
      <c r="J408" s="71">
        <v>4</v>
      </c>
      <c r="K408" s="71">
        <v>0</v>
      </c>
      <c r="L408" s="71">
        <v>4</v>
      </c>
      <c r="M408" s="59">
        <v>149.3</v>
      </c>
      <c r="N408" s="59">
        <v>0</v>
      </c>
      <c r="O408" s="73">
        <v>149.3</v>
      </c>
      <c r="P408" s="84">
        <f t="shared" si="124"/>
        <v>5098595</v>
      </c>
      <c r="Q408" s="83">
        <f t="shared" si="125"/>
        <v>2431220.9123491584</v>
      </c>
      <c r="R408" s="83">
        <f t="shared" si="126"/>
        <v>2153995.0926313996</v>
      </c>
      <c r="S408" s="83">
        <f t="shared" si="127"/>
        <v>513378.99501944194</v>
      </c>
      <c r="T408" s="83">
        <v>0</v>
      </c>
    </row>
    <row r="409" spans="1:20" ht="15.75">
      <c r="A409" s="148" t="s">
        <v>447</v>
      </c>
      <c r="B409" s="148"/>
      <c r="C409" s="58"/>
      <c r="D409" s="58"/>
      <c r="E409" s="58"/>
      <c r="F409" s="58"/>
      <c r="G409" s="65">
        <f>SUM(G410:G426)</f>
        <v>163</v>
      </c>
      <c r="H409" s="65">
        <f aca="true" t="shared" si="129" ref="H409:T409">SUM(H410:H426)</f>
        <v>163</v>
      </c>
      <c r="I409" s="59">
        <f t="shared" si="129"/>
        <v>3057.03</v>
      </c>
      <c r="J409" s="65">
        <f t="shared" si="129"/>
        <v>68</v>
      </c>
      <c r="K409" s="65">
        <f t="shared" si="129"/>
        <v>54</v>
      </c>
      <c r="L409" s="65">
        <f t="shared" si="129"/>
        <v>14</v>
      </c>
      <c r="M409" s="59">
        <f t="shared" si="129"/>
        <v>3057.03</v>
      </c>
      <c r="N409" s="59">
        <f t="shared" si="129"/>
        <v>2448.73</v>
      </c>
      <c r="O409" s="59">
        <f t="shared" si="129"/>
        <v>608.3</v>
      </c>
      <c r="P409" s="65">
        <f t="shared" si="129"/>
        <v>104397574.5</v>
      </c>
      <c r="Q409" s="65">
        <f>SUM(Q410:Q426)</f>
        <v>49681199.761881344</v>
      </c>
      <c r="R409" s="65">
        <f t="shared" si="129"/>
        <v>44016199.78829615</v>
      </c>
      <c r="S409" s="65">
        <f t="shared" si="129"/>
        <v>10700174.949822515</v>
      </c>
      <c r="T409" s="65">
        <f t="shared" si="129"/>
        <v>0</v>
      </c>
    </row>
    <row r="410" spans="1:20" ht="31.5">
      <c r="A410" s="43">
        <f>A408+1</f>
        <v>201</v>
      </c>
      <c r="B410" s="91" t="s">
        <v>459</v>
      </c>
      <c r="C410" s="74">
        <v>56</v>
      </c>
      <c r="D410" s="72">
        <v>38222</v>
      </c>
      <c r="E410" s="130" t="s">
        <v>415</v>
      </c>
      <c r="F410" s="130" t="s">
        <v>252</v>
      </c>
      <c r="G410" s="58">
        <v>11</v>
      </c>
      <c r="H410" s="58">
        <v>11</v>
      </c>
      <c r="I410" s="59">
        <v>196.8</v>
      </c>
      <c r="J410" s="71">
        <f aca="true" t="shared" si="130" ref="J410:J426">K410+L410</f>
        <v>4</v>
      </c>
      <c r="K410" s="71">
        <v>4</v>
      </c>
      <c r="L410" s="71">
        <v>0</v>
      </c>
      <c r="M410" s="59">
        <f aca="true" t="shared" si="131" ref="M410:M426">N410+O410</f>
        <v>196.8</v>
      </c>
      <c r="N410" s="59">
        <v>196.8</v>
      </c>
      <c r="O410" s="73">
        <v>0</v>
      </c>
      <c r="P410" s="84">
        <f>M410*34150</f>
        <v>6720720</v>
      </c>
      <c r="Q410" s="65">
        <f>P410*0.47588461705</f>
        <v>3198287.263500276</v>
      </c>
      <c r="R410" s="65">
        <f>P410*0.4216209045</f>
        <v>2833596.04529124</v>
      </c>
      <c r="S410" s="65">
        <f>P410-Q410-R410</f>
        <v>688836.6912084841</v>
      </c>
      <c r="T410" s="65">
        <v>0</v>
      </c>
    </row>
    <row r="411" spans="1:20" ht="31.5">
      <c r="A411" s="43">
        <f>A410+1</f>
        <v>202</v>
      </c>
      <c r="B411" s="91" t="s">
        <v>460</v>
      </c>
      <c r="C411" s="74">
        <v>54</v>
      </c>
      <c r="D411" s="72">
        <v>38222</v>
      </c>
      <c r="E411" s="130" t="s">
        <v>415</v>
      </c>
      <c r="F411" s="130" t="s">
        <v>252</v>
      </c>
      <c r="G411" s="58">
        <v>11</v>
      </c>
      <c r="H411" s="58">
        <v>11</v>
      </c>
      <c r="I411" s="59">
        <v>310.2</v>
      </c>
      <c r="J411" s="71">
        <f t="shared" si="130"/>
        <v>5</v>
      </c>
      <c r="K411" s="71">
        <v>5</v>
      </c>
      <c r="L411" s="71">
        <v>0</v>
      </c>
      <c r="M411" s="59">
        <f t="shared" si="131"/>
        <v>310.2</v>
      </c>
      <c r="N411" s="59">
        <v>310.2</v>
      </c>
      <c r="O411" s="73">
        <v>0</v>
      </c>
      <c r="P411" s="84">
        <f aca="true" t="shared" si="132" ref="P411:P426">M411*34150</f>
        <v>10593330</v>
      </c>
      <c r="Q411" s="65">
        <f aca="true" t="shared" si="133" ref="Q411:Q426">P411*0.47588461705</f>
        <v>5041202.790334277</v>
      </c>
      <c r="R411" s="65">
        <f aca="true" t="shared" si="134" ref="R411:R426">P411*0.4216209045</f>
        <v>4466369.376266985</v>
      </c>
      <c r="S411" s="65">
        <f aca="true" t="shared" si="135" ref="S411:S426">P411-Q411-R411</f>
        <v>1085757.833398738</v>
      </c>
      <c r="T411" s="65">
        <v>0</v>
      </c>
    </row>
    <row r="412" spans="1:20" ht="31.5">
      <c r="A412" s="43">
        <f aca="true" t="shared" si="136" ref="A412:A426">A411+1</f>
        <v>203</v>
      </c>
      <c r="B412" s="139" t="s">
        <v>461</v>
      </c>
      <c r="C412" s="74">
        <v>53</v>
      </c>
      <c r="D412" s="72">
        <v>38222</v>
      </c>
      <c r="E412" s="130" t="s">
        <v>415</v>
      </c>
      <c r="F412" s="130" t="s">
        <v>252</v>
      </c>
      <c r="G412" s="58">
        <v>12</v>
      </c>
      <c r="H412" s="58">
        <v>12</v>
      </c>
      <c r="I412" s="59">
        <v>226.4</v>
      </c>
      <c r="J412" s="71">
        <f t="shared" si="130"/>
        <v>4</v>
      </c>
      <c r="K412" s="71">
        <v>3</v>
      </c>
      <c r="L412" s="71">
        <v>1</v>
      </c>
      <c r="M412" s="59">
        <f t="shared" si="131"/>
        <v>226.4</v>
      </c>
      <c r="N412" s="59">
        <v>121.7</v>
      </c>
      <c r="O412" s="73">
        <f>I412-N412</f>
        <v>104.7</v>
      </c>
      <c r="P412" s="84">
        <f t="shared" si="132"/>
        <v>7731560</v>
      </c>
      <c r="Q412" s="65">
        <f t="shared" si="133"/>
        <v>3679330.469799098</v>
      </c>
      <c r="R412" s="65">
        <f t="shared" si="134"/>
        <v>3259787.32039602</v>
      </c>
      <c r="S412" s="65">
        <f t="shared" si="135"/>
        <v>792442.2098048818</v>
      </c>
      <c r="T412" s="65">
        <v>0</v>
      </c>
    </row>
    <row r="413" spans="1:20" ht="31.5">
      <c r="A413" s="43">
        <f t="shared" si="136"/>
        <v>204</v>
      </c>
      <c r="B413" s="139" t="s">
        <v>462</v>
      </c>
      <c r="C413" s="74">
        <v>31</v>
      </c>
      <c r="D413" s="72">
        <v>38075</v>
      </c>
      <c r="E413" s="130" t="s">
        <v>415</v>
      </c>
      <c r="F413" s="130" t="s">
        <v>252</v>
      </c>
      <c r="G413" s="58">
        <v>21</v>
      </c>
      <c r="H413" s="58">
        <v>21</v>
      </c>
      <c r="I413" s="59">
        <v>498.81</v>
      </c>
      <c r="J413" s="71">
        <f t="shared" si="130"/>
        <v>8</v>
      </c>
      <c r="K413" s="71">
        <v>8</v>
      </c>
      <c r="L413" s="71">
        <v>0</v>
      </c>
      <c r="M413" s="59">
        <f t="shared" si="131"/>
        <v>498.81</v>
      </c>
      <c r="N413" s="59">
        <v>498.81</v>
      </c>
      <c r="O413" s="73">
        <v>0</v>
      </c>
      <c r="P413" s="84">
        <f t="shared" si="132"/>
        <v>17034361.5</v>
      </c>
      <c r="Q413" s="65">
        <f t="shared" si="133"/>
        <v>8106390.599118764</v>
      </c>
      <c r="R413" s="65">
        <f t="shared" si="134"/>
        <v>7182042.903209977</v>
      </c>
      <c r="S413" s="65">
        <f t="shared" si="135"/>
        <v>1745927.9976712596</v>
      </c>
      <c r="T413" s="65">
        <v>0</v>
      </c>
    </row>
    <row r="414" spans="1:20" ht="31.5">
      <c r="A414" s="43">
        <f t="shared" si="136"/>
        <v>205</v>
      </c>
      <c r="B414" s="139" t="s">
        <v>463</v>
      </c>
      <c r="C414" s="74">
        <v>31</v>
      </c>
      <c r="D414" s="72">
        <v>38214</v>
      </c>
      <c r="E414" s="130" t="s">
        <v>415</v>
      </c>
      <c r="F414" s="130" t="s">
        <v>252</v>
      </c>
      <c r="G414" s="58">
        <v>22</v>
      </c>
      <c r="H414" s="58">
        <v>22</v>
      </c>
      <c r="I414" s="59">
        <v>504.9</v>
      </c>
      <c r="J414" s="71">
        <f t="shared" si="130"/>
        <v>8</v>
      </c>
      <c r="K414" s="71">
        <v>6</v>
      </c>
      <c r="L414" s="71">
        <v>2</v>
      </c>
      <c r="M414" s="59">
        <f t="shared" si="131"/>
        <v>504.9</v>
      </c>
      <c r="N414" s="59">
        <v>333.4</v>
      </c>
      <c r="O414" s="73">
        <f>I414-N414</f>
        <v>171.5</v>
      </c>
      <c r="P414" s="84">
        <f t="shared" si="132"/>
        <v>17242335</v>
      </c>
      <c r="Q414" s="65">
        <f t="shared" si="133"/>
        <v>8205361.988522812</v>
      </c>
      <c r="R414" s="65">
        <f t="shared" si="134"/>
        <v>7269728.878392007</v>
      </c>
      <c r="S414" s="65">
        <f t="shared" si="135"/>
        <v>1767244.13308518</v>
      </c>
      <c r="T414" s="65">
        <v>0</v>
      </c>
    </row>
    <row r="415" spans="1:20" ht="31.5">
      <c r="A415" s="43">
        <f t="shared" si="136"/>
        <v>206</v>
      </c>
      <c r="B415" s="91" t="s">
        <v>464</v>
      </c>
      <c r="C415" s="74">
        <v>25</v>
      </c>
      <c r="D415" s="72">
        <v>38072</v>
      </c>
      <c r="E415" s="130" t="s">
        <v>415</v>
      </c>
      <c r="F415" s="130" t="s">
        <v>252</v>
      </c>
      <c r="G415" s="58">
        <v>6</v>
      </c>
      <c r="H415" s="58">
        <v>6</v>
      </c>
      <c r="I415" s="59">
        <v>179.4</v>
      </c>
      <c r="J415" s="71">
        <f t="shared" si="130"/>
        <v>4</v>
      </c>
      <c r="K415" s="71">
        <v>4</v>
      </c>
      <c r="L415" s="71">
        <v>0</v>
      </c>
      <c r="M415" s="59">
        <f t="shared" si="131"/>
        <v>179.4</v>
      </c>
      <c r="N415" s="59">
        <v>179.4</v>
      </c>
      <c r="O415" s="73">
        <v>0</v>
      </c>
      <c r="P415" s="84">
        <f t="shared" si="132"/>
        <v>6126510</v>
      </c>
      <c r="Q415" s="65">
        <f t="shared" si="133"/>
        <v>2915511.8652029955</v>
      </c>
      <c r="R415" s="65">
        <f t="shared" si="134"/>
        <v>2583064.687628295</v>
      </c>
      <c r="S415" s="65">
        <f t="shared" si="135"/>
        <v>627933.4471687097</v>
      </c>
      <c r="T415" s="65">
        <v>0</v>
      </c>
    </row>
    <row r="416" spans="1:20" ht="31.5">
      <c r="A416" s="43">
        <f t="shared" si="136"/>
        <v>207</v>
      </c>
      <c r="B416" s="91" t="s">
        <v>465</v>
      </c>
      <c r="C416" s="74">
        <v>24</v>
      </c>
      <c r="D416" s="72">
        <v>38070</v>
      </c>
      <c r="E416" s="130" t="s">
        <v>415</v>
      </c>
      <c r="F416" s="130" t="s">
        <v>252</v>
      </c>
      <c r="G416" s="58">
        <v>13</v>
      </c>
      <c r="H416" s="58">
        <v>13</v>
      </c>
      <c r="I416" s="59">
        <v>169.1</v>
      </c>
      <c r="J416" s="71">
        <f t="shared" si="130"/>
        <v>4</v>
      </c>
      <c r="K416" s="71">
        <v>4</v>
      </c>
      <c r="L416" s="71">
        <v>0</v>
      </c>
      <c r="M416" s="59">
        <f t="shared" si="131"/>
        <v>169.1</v>
      </c>
      <c r="N416" s="59">
        <v>169.1</v>
      </c>
      <c r="O416" s="73">
        <v>0</v>
      </c>
      <c r="P416" s="84">
        <f t="shared" si="132"/>
        <v>5774765</v>
      </c>
      <c r="Q416" s="65">
        <f t="shared" si="133"/>
        <v>2748121.8305787435</v>
      </c>
      <c r="R416" s="65">
        <f t="shared" si="134"/>
        <v>2434761.6425749427</v>
      </c>
      <c r="S416" s="65">
        <f t="shared" si="135"/>
        <v>591881.5268463138</v>
      </c>
      <c r="T416" s="65">
        <v>0</v>
      </c>
    </row>
    <row r="417" spans="1:20" ht="31.5">
      <c r="A417" s="43">
        <f t="shared" si="136"/>
        <v>208</v>
      </c>
      <c r="B417" s="91" t="s">
        <v>466</v>
      </c>
      <c r="C417" s="74">
        <v>35</v>
      </c>
      <c r="D417" s="72">
        <v>38215</v>
      </c>
      <c r="E417" s="130" t="s">
        <v>415</v>
      </c>
      <c r="F417" s="130" t="s">
        <v>252</v>
      </c>
      <c r="G417" s="58">
        <v>5</v>
      </c>
      <c r="H417" s="58">
        <v>5</v>
      </c>
      <c r="I417" s="59">
        <v>39.6</v>
      </c>
      <c r="J417" s="71">
        <f t="shared" si="130"/>
        <v>2</v>
      </c>
      <c r="K417" s="71">
        <v>0</v>
      </c>
      <c r="L417" s="71">
        <v>2</v>
      </c>
      <c r="M417" s="59">
        <f t="shared" si="131"/>
        <v>39.6</v>
      </c>
      <c r="N417" s="59">
        <v>0</v>
      </c>
      <c r="O417" s="73">
        <v>39.6</v>
      </c>
      <c r="P417" s="84">
        <f t="shared" si="132"/>
        <v>1352340</v>
      </c>
      <c r="Q417" s="65">
        <f t="shared" si="133"/>
        <v>643557.803021397</v>
      </c>
      <c r="R417" s="65">
        <f t="shared" si="134"/>
        <v>570174.81399153</v>
      </c>
      <c r="S417" s="65">
        <f t="shared" si="135"/>
        <v>138607.38298707304</v>
      </c>
      <c r="T417" s="65">
        <v>0</v>
      </c>
    </row>
    <row r="418" spans="1:20" ht="31.5">
      <c r="A418" s="43">
        <f t="shared" si="136"/>
        <v>209</v>
      </c>
      <c r="B418" s="91" t="s">
        <v>467</v>
      </c>
      <c r="C418" s="74">
        <v>2</v>
      </c>
      <c r="D418" s="72">
        <v>38041</v>
      </c>
      <c r="E418" s="130" t="s">
        <v>415</v>
      </c>
      <c r="F418" s="130" t="s">
        <v>252</v>
      </c>
      <c r="G418" s="58">
        <v>11</v>
      </c>
      <c r="H418" s="58">
        <v>11</v>
      </c>
      <c r="I418" s="59">
        <v>153.52</v>
      </c>
      <c r="J418" s="71">
        <f t="shared" si="130"/>
        <v>4</v>
      </c>
      <c r="K418" s="71">
        <v>4</v>
      </c>
      <c r="L418" s="71">
        <v>0</v>
      </c>
      <c r="M418" s="59">
        <f t="shared" si="131"/>
        <v>153.52</v>
      </c>
      <c r="N418" s="59">
        <v>153.52</v>
      </c>
      <c r="O418" s="73">
        <v>0</v>
      </c>
      <c r="P418" s="84">
        <f t="shared" si="132"/>
        <v>5242708</v>
      </c>
      <c r="Q418" s="65">
        <f t="shared" si="133"/>
        <v>2494924.0888849716</v>
      </c>
      <c r="R418" s="65">
        <f t="shared" si="134"/>
        <v>2210435.288989386</v>
      </c>
      <c r="S418" s="65">
        <f t="shared" si="135"/>
        <v>537348.6221256424</v>
      </c>
      <c r="T418" s="65">
        <v>0</v>
      </c>
    </row>
    <row r="419" spans="1:20" ht="31.5">
      <c r="A419" s="43">
        <f t="shared" si="136"/>
        <v>210</v>
      </c>
      <c r="B419" s="91" t="s">
        <v>468</v>
      </c>
      <c r="C419" s="74">
        <v>48</v>
      </c>
      <c r="D419" s="72">
        <v>38218</v>
      </c>
      <c r="E419" s="130" t="s">
        <v>415</v>
      </c>
      <c r="F419" s="130" t="s">
        <v>252</v>
      </c>
      <c r="G419" s="58">
        <v>3</v>
      </c>
      <c r="H419" s="58">
        <v>3</v>
      </c>
      <c r="I419" s="59">
        <v>48</v>
      </c>
      <c r="J419" s="71">
        <f t="shared" si="130"/>
        <v>2</v>
      </c>
      <c r="K419" s="71">
        <v>2</v>
      </c>
      <c r="L419" s="71">
        <v>0</v>
      </c>
      <c r="M419" s="59">
        <f t="shared" si="131"/>
        <v>48</v>
      </c>
      <c r="N419" s="59">
        <v>48</v>
      </c>
      <c r="O419" s="73">
        <v>0</v>
      </c>
      <c r="P419" s="84">
        <f t="shared" si="132"/>
        <v>1639200</v>
      </c>
      <c r="Q419" s="65">
        <f t="shared" si="133"/>
        <v>780070.06426836</v>
      </c>
      <c r="R419" s="65">
        <f t="shared" si="134"/>
        <v>691120.9866564</v>
      </c>
      <c r="S419" s="65">
        <f t="shared" si="135"/>
        <v>168008.94907523994</v>
      </c>
      <c r="T419" s="65">
        <v>0</v>
      </c>
    </row>
    <row r="420" spans="1:20" ht="31.5">
      <c r="A420" s="43">
        <f t="shared" si="136"/>
        <v>211</v>
      </c>
      <c r="B420" s="139" t="s">
        <v>469</v>
      </c>
      <c r="C420" s="74">
        <v>10</v>
      </c>
      <c r="D420" s="72">
        <v>38044</v>
      </c>
      <c r="E420" s="130" t="s">
        <v>415</v>
      </c>
      <c r="F420" s="130" t="s">
        <v>252</v>
      </c>
      <c r="G420" s="58">
        <v>12</v>
      </c>
      <c r="H420" s="58">
        <v>12</v>
      </c>
      <c r="I420" s="59">
        <v>165.39999999999998</v>
      </c>
      <c r="J420" s="71">
        <f t="shared" si="130"/>
        <v>5</v>
      </c>
      <c r="K420" s="71">
        <v>1</v>
      </c>
      <c r="L420" s="71">
        <v>4</v>
      </c>
      <c r="M420" s="59">
        <f t="shared" si="131"/>
        <v>165.39999999999998</v>
      </c>
      <c r="N420" s="59">
        <v>26.5</v>
      </c>
      <c r="O420" s="73">
        <v>138.89999999999998</v>
      </c>
      <c r="P420" s="84">
        <f t="shared" si="132"/>
        <v>5648409.999999999</v>
      </c>
      <c r="Q420" s="65">
        <f t="shared" si="133"/>
        <v>2687991.42979139</v>
      </c>
      <c r="R420" s="65">
        <f t="shared" si="134"/>
        <v>2381487.7331868447</v>
      </c>
      <c r="S420" s="65">
        <f t="shared" si="135"/>
        <v>578930.8370217644</v>
      </c>
      <c r="T420" s="65">
        <v>0</v>
      </c>
    </row>
    <row r="421" spans="1:20" ht="31.5">
      <c r="A421" s="43">
        <f t="shared" si="136"/>
        <v>212</v>
      </c>
      <c r="B421" s="91" t="s">
        <v>470</v>
      </c>
      <c r="C421" s="74">
        <v>15</v>
      </c>
      <c r="D421" s="72">
        <v>38064</v>
      </c>
      <c r="E421" s="130" t="s">
        <v>415</v>
      </c>
      <c r="F421" s="130" t="s">
        <v>252</v>
      </c>
      <c r="G421" s="58">
        <v>10</v>
      </c>
      <c r="H421" s="58">
        <v>10</v>
      </c>
      <c r="I421" s="59">
        <v>97.8</v>
      </c>
      <c r="J421" s="71">
        <f t="shared" si="130"/>
        <v>4</v>
      </c>
      <c r="K421" s="71">
        <v>4</v>
      </c>
      <c r="L421" s="71">
        <v>0</v>
      </c>
      <c r="M421" s="59">
        <f t="shared" si="131"/>
        <v>97.8</v>
      </c>
      <c r="N421" s="59">
        <v>97.8</v>
      </c>
      <c r="O421" s="73">
        <v>0</v>
      </c>
      <c r="P421" s="84">
        <f t="shared" si="132"/>
        <v>3339870</v>
      </c>
      <c r="Q421" s="65">
        <f t="shared" si="133"/>
        <v>1589392.7559467836</v>
      </c>
      <c r="R421" s="65">
        <f t="shared" si="134"/>
        <v>1408159.010312415</v>
      </c>
      <c r="S421" s="65">
        <f t="shared" si="135"/>
        <v>342318.23374080146</v>
      </c>
      <c r="T421" s="65">
        <v>0</v>
      </c>
    </row>
    <row r="422" spans="1:20" ht="31.5">
      <c r="A422" s="43">
        <f t="shared" si="136"/>
        <v>213</v>
      </c>
      <c r="B422" s="139" t="s">
        <v>471</v>
      </c>
      <c r="C422" s="74">
        <v>29</v>
      </c>
      <c r="D422" s="72">
        <v>38071</v>
      </c>
      <c r="E422" s="130" t="s">
        <v>415</v>
      </c>
      <c r="F422" s="130" t="s">
        <v>252</v>
      </c>
      <c r="G422" s="58">
        <v>5</v>
      </c>
      <c r="H422" s="58">
        <v>5</v>
      </c>
      <c r="I422" s="59">
        <v>94.5</v>
      </c>
      <c r="J422" s="71">
        <f t="shared" si="130"/>
        <v>2</v>
      </c>
      <c r="K422" s="71">
        <v>2</v>
      </c>
      <c r="L422" s="71">
        <v>0</v>
      </c>
      <c r="M422" s="59">
        <f t="shared" si="131"/>
        <v>94.5</v>
      </c>
      <c r="N422" s="59">
        <v>94.5</v>
      </c>
      <c r="O422" s="73">
        <v>0</v>
      </c>
      <c r="P422" s="84">
        <f t="shared" si="132"/>
        <v>3227175</v>
      </c>
      <c r="Q422" s="65">
        <f t="shared" si="133"/>
        <v>1535762.9390283339</v>
      </c>
      <c r="R422" s="65">
        <f t="shared" si="134"/>
        <v>1360644.4424797876</v>
      </c>
      <c r="S422" s="65">
        <f t="shared" si="135"/>
        <v>330767.6184918785</v>
      </c>
      <c r="T422" s="65">
        <v>0</v>
      </c>
    </row>
    <row r="423" spans="1:20" ht="31.5">
      <c r="A423" s="43">
        <f t="shared" si="136"/>
        <v>214</v>
      </c>
      <c r="B423" s="91" t="s">
        <v>472</v>
      </c>
      <c r="C423" s="74">
        <v>17</v>
      </c>
      <c r="D423" s="72">
        <v>38065</v>
      </c>
      <c r="E423" s="130" t="s">
        <v>415</v>
      </c>
      <c r="F423" s="130" t="s">
        <v>252</v>
      </c>
      <c r="G423" s="58">
        <v>6</v>
      </c>
      <c r="H423" s="58">
        <v>6</v>
      </c>
      <c r="I423" s="59">
        <v>96.6</v>
      </c>
      <c r="J423" s="71">
        <f t="shared" si="130"/>
        <v>3</v>
      </c>
      <c r="K423" s="71">
        <v>3</v>
      </c>
      <c r="L423" s="71">
        <v>0</v>
      </c>
      <c r="M423" s="59">
        <f t="shared" si="131"/>
        <v>96.6</v>
      </c>
      <c r="N423" s="59">
        <v>96.6</v>
      </c>
      <c r="O423" s="73">
        <v>0</v>
      </c>
      <c r="P423" s="84">
        <f t="shared" si="132"/>
        <v>3298890</v>
      </c>
      <c r="Q423" s="65">
        <f t="shared" si="133"/>
        <v>1569891.0043400745</v>
      </c>
      <c r="R423" s="65">
        <f t="shared" si="134"/>
        <v>1390880.985646005</v>
      </c>
      <c r="S423" s="65">
        <f t="shared" si="135"/>
        <v>338118.0100139205</v>
      </c>
      <c r="T423" s="65">
        <v>0</v>
      </c>
    </row>
    <row r="424" spans="1:20" ht="31.5">
      <c r="A424" s="43">
        <f t="shared" si="136"/>
        <v>215</v>
      </c>
      <c r="B424" s="91" t="s">
        <v>473</v>
      </c>
      <c r="C424" s="74">
        <v>57</v>
      </c>
      <c r="D424" s="72">
        <v>38222</v>
      </c>
      <c r="E424" s="130" t="s">
        <v>415</v>
      </c>
      <c r="F424" s="130" t="s">
        <v>252</v>
      </c>
      <c r="G424" s="58">
        <v>5</v>
      </c>
      <c r="H424" s="58">
        <v>5</v>
      </c>
      <c r="I424" s="59">
        <v>81.1</v>
      </c>
      <c r="J424" s="71">
        <f t="shared" si="130"/>
        <v>2</v>
      </c>
      <c r="K424" s="71">
        <v>2</v>
      </c>
      <c r="L424" s="71">
        <v>0</v>
      </c>
      <c r="M424" s="59">
        <f t="shared" si="131"/>
        <v>81.1</v>
      </c>
      <c r="N424" s="59">
        <v>81.1</v>
      </c>
      <c r="O424" s="73">
        <v>0</v>
      </c>
      <c r="P424" s="84">
        <f t="shared" si="132"/>
        <v>2769565</v>
      </c>
      <c r="Q424" s="65">
        <f t="shared" si="133"/>
        <v>1317993.3794200832</v>
      </c>
      <c r="R424" s="65">
        <f t="shared" si="134"/>
        <v>1167706.5003715425</v>
      </c>
      <c r="S424" s="65">
        <f t="shared" si="135"/>
        <v>283865.1202083742</v>
      </c>
      <c r="T424" s="65">
        <v>0</v>
      </c>
    </row>
    <row r="425" spans="1:20" ht="31.5">
      <c r="A425" s="43">
        <f t="shared" si="136"/>
        <v>216</v>
      </c>
      <c r="B425" s="139" t="s">
        <v>474</v>
      </c>
      <c r="C425" s="74">
        <v>18</v>
      </c>
      <c r="D425" s="72">
        <v>38065</v>
      </c>
      <c r="E425" s="130" t="s">
        <v>415</v>
      </c>
      <c r="F425" s="130" t="s">
        <v>252</v>
      </c>
      <c r="G425" s="58">
        <v>8</v>
      </c>
      <c r="H425" s="58">
        <v>8</v>
      </c>
      <c r="I425" s="59">
        <v>144.6</v>
      </c>
      <c r="J425" s="71">
        <f t="shared" si="130"/>
        <v>5</v>
      </c>
      <c r="K425" s="71">
        <v>1</v>
      </c>
      <c r="L425" s="71">
        <v>4</v>
      </c>
      <c r="M425" s="59">
        <f t="shared" si="131"/>
        <v>144.6</v>
      </c>
      <c r="N425" s="59">
        <v>13.8</v>
      </c>
      <c r="O425" s="73">
        <v>130.79999999999998</v>
      </c>
      <c r="P425" s="84">
        <f t="shared" si="132"/>
        <v>4938090</v>
      </c>
      <c r="Q425" s="65">
        <f t="shared" si="133"/>
        <v>2349961.0686084344</v>
      </c>
      <c r="R425" s="65">
        <f t="shared" si="134"/>
        <v>2082001.972302405</v>
      </c>
      <c r="S425" s="65">
        <f t="shared" si="135"/>
        <v>506126.95908916066</v>
      </c>
      <c r="T425" s="65">
        <v>0</v>
      </c>
    </row>
    <row r="426" spans="1:20" ht="31.5">
      <c r="A426" s="43">
        <f t="shared" si="136"/>
        <v>217</v>
      </c>
      <c r="B426" s="139" t="s">
        <v>475</v>
      </c>
      <c r="C426" s="74">
        <v>20</v>
      </c>
      <c r="D426" s="72">
        <v>38068</v>
      </c>
      <c r="E426" s="130" t="s">
        <v>415</v>
      </c>
      <c r="F426" s="130" t="s">
        <v>252</v>
      </c>
      <c r="G426" s="58">
        <v>2</v>
      </c>
      <c r="H426" s="58">
        <v>2</v>
      </c>
      <c r="I426" s="59">
        <v>50.3</v>
      </c>
      <c r="J426" s="71">
        <f t="shared" si="130"/>
        <v>2</v>
      </c>
      <c r="K426" s="71">
        <v>1</v>
      </c>
      <c r="L426" s="71">
        <v>1</v>
      </c>
      <c r="M426" s="59">
        <f t="shared" si="131"/>
        <v>50.3</v>
      </c>
      <c r="N426" s="59">
        <v>27.5</v>
      </c>
      <c r="O426" s="73">
        <f>I426-N426</f>
        <v>22.799999999999997</v>
      </c>
      <c r="P426" s="84">
        <f t="shared" si="132"/>
        <v>1717745</v>
      </c>
      <c r="Q426" s="65">
        <f t="shared" si="133"/>
        <v>817448.4215145523</v>
      </c>
      <c r="R426" s="65">
        <f t="shared" si="134"/>
        <v>724237.2006003525</v>
      </c>
      <c r="S426" s="65">
        <f t="shared" si="135"/>
        <v>176059.3778850952</v>
      </c>
      <c r="T426" s="65">
        <v>0</v>
      </c>
    </row>
    <row r="427" spans="1:20" ht="15.75">
      <c r="A427" s="152" t="s">
        <v>476</v>
      </c>
      <c r="B427" s="152"/>
      <c r="C427" s="33"/>
      <c r="D427" s="33"/>
      <c r="E427" s="33"/>
      <c r="F427" s="33"/>
      <c r="G427" s="33">
        <f>G428+G429+G430+G431</f>
        <v>54</v>
      </c>
      <c r="H427" s="33">
        <v>54</v>
      </c>
      <c r="I427" s="85">
        <f aca="true" t="shared" si="137" ref="I427:N427">SUM(I428:I431)</f>
        <v>719.3000000000001</v>
      </c>
      <c r="J427" s="84">
        <f t="shared" si="137"/>
        <v>28</v>
      </c>
      <c r="K427" s="33">
        <f t="shared" si="137"/>
        <v>8</v>
      </c>
      <c r="L427" s="84">
        <f t="shared" si="137"/>
        <v>20</v>
      </c>
      <c r="M427" s="85">
        <f t="shared" si="137"/>
        <v>568.7</v>
      </c>
      <c r="N427" s="85">
        <f t="shared" si="137"/>
        <v>162.2</v>
      </c>
      <c r="O427" s="85">
        <f aca="true" t="shared" si="138" ref="O427:T427">SUM(O428:O431)</f>
        <v>406.5</v>
      </c>
      <c r="P427" s="84">
        <f t="shared" si="138"/>
        <v>19421105</v>
      </c>
      <c r="Q427" s="84">
        <f t="shared" si="138"/>
        <v>8697499.999924108</v>
      </c>
      <c r="R427" s="84">
        <f t="shared" si="138"/>
        <v>7705799.999947746</v>
      </c>
      <c r="S427" s="84">
        <f t="shared" si="138"/>
        <v>3017805.0001281453</v>
      </c>
      <c r="T427" s="84">
        <f t="shared" si="138"/>
        <v>0</v>
      </c>
    </row>
    <row r="428" spans="1:20" ht="31.5">
      <c r="A428" s="136">
        <v>218</v>
      </c>
      <c r="B428" s="91" t="s">
        <v>477</v>
      </c>
      <c r="C428" s="74">
        <v>6</v>
      </c>
      <c r="D428" s="79">
        <v>40827</v>
      </c>
      <c r="E428" s="130" t="s">
        <v>415</v>
      </c>
      <c r="F428" s="130" t="s">
        <v>252</v>
      </c>
      <c r="G428" s="33">
        <v>26</v>
      </c>
      <c r="H428" s="33">
        <v>26</v>
      </c>
      <c r="I428" s="85">
        <v>234</v>
      </c>
      <c r="J428" s="84">
        <v>14</v>
      </c>
      <c r="K428" s="33">
        <v>0</v>
      </c>
      <c r="L428" s="84">
        <v>14</v>
      </c>
      <c r="M428" s="85">
        <v>234</v>
      </c>
      <c r="N428" s="85">
        <v>0</v>
      </c>
      <c r="O428" s="85">
        <v>234</v>
      </c>
      <c r="P428" s="84">
        <f>M428*34150</f>
        <v>7991100</v>
      </c>
      <c r="Q428" s="84">
        <f>P428*0.4478375458</f>
        <v>3578714.61224238</v>
      </c>
      <c r="R428" s="84">
        <f>P428*0.39677453986</f>
        <v>3170665.025475246</v>
      </c>
      <c r="S428" s="84">
        <f>P428-Q428-R428</f>
        <v>1241720.362282374</v>
      </c>
      <c r="T428" s="84">
        <v>0</v>
      </c>
    </row>
    <row r="429" spans="1:20" ht="31.5">
      <c r="A429" s="136">
        <f>A428+1</f>
        <v>219</v>
      </c>
      <c r="B429" s="91" t="s">
        <v>478</v>
      </c>
      <c r="C429" s="74">
        <v>5</v>
      </c>
      <c r="D429" s="79">
        <v>40295</v>
      </c>
      <c r="E429" s="130" t="s">
        <v>415</v>
      </c>
      <c r="F429" s="130" t="s">
        <v>252</v>
      </c>
      <c r="G429" s="33">
        <v>13</v>
      </c>
      <c r="H429" s="33">
        <v>13</v>
      </c>
      <c r="I429" s="85">
        <v>287.6</v>
      </c>
      <c r="J429" s="84">
        <v>6</v>
      </c>
      <c r="K429" s="33">
        <v>0</v>
      </c>
      <c r="L429" s="84">
        <v>6</v>
      </c>
      <c r="M429" s="85">
        <v>172.5</v>
      </c>
      <c r="N429" s="85">
        <v>0</v>
      </c>
      <c r="O429" s="85">
        <v>172.5</v>
      </c>
      <c r="P429" s="84">
        <f>M429*34150</f>
        <v>5890875</v>
      </c>
      <c r="Q429" s="84">
        <f>P429*0.4478375458</f>
        <v>2638155.002614575</v>
      </c>
      <c r="R429" s="84">
        <f>P429*0.39677453986</f>
        <v>2337349.2174977777</v>
      </c>
      <c r="S429" s="84">
        <f>P429-Q429-R429</f>
        <v>915370.7798876474</v>
      </c>
      <c r="T429" s="84">
        <v>0</v>
      </c>
    </row>
    <row r="430" spans="1:20" ht="31.5">
      <c r="A430" s="136">
        <f>A429+1</f>
        <v>220</v>
      </c>
      <c r="B430" s="91" t="s">
        <v>479</v>
      </c>
      <c r="C430" s="74">
        <v>7</v>
      </c>
      <c r="D430" s="79">
        <v>40827</v>
      </c>
      <c r="E430" s="130" t="s">
        <v>415</v>
      </c>
      <c r="F430" s="130" t="s">
        <v>252</v>
      </c>
      <c r="G430" s="33">
        <v>12</v>
      </c>
      <c r="H430" s="33">
        <v>12</v>
      </c>
      <c r="I430" s="85">
        <v>127.1</v>
      </c>
      <c r="J430" s="84">
        <v>6</v>
      </c>
      <c r="K430" s="33">
        <v>6</v>
      </c>
      <c r="L430" s="84">
        <v>0</v>
      </c>
      <c r="M430" s="85">
        <v>127.1</v>
      </c>
      <c r="N430" s="85">
        <v>127.1</v>
      </c>
      <c r="O430" s="85">
        <v>0</v>
      </c>
      <c r="P430" s="84">
        <f>M430*34150</f>
        <v>4340465</v>
      </c>
      <c r="Q430" s="84">
        <f>P430*0.4478375458</f>
        <v>1943823.193230797</v>
      </c>
      <c r="R430" s="84">
        <f>P430*0.39677453986</f>
        <v>1722186.003153435</v>
      </c>
      <c r="S430" s="84">
        <f>P430-Q430-R430</f>
        <v>674455.803615768</v>
      </c>
      <c r="T430" s="84">
        <v>0</v>
      </c>
    </row>
    <row r="431" spans="1:20" ht="31.5">
      <c r="A431" s="136">
        <f>A430+1</f>
        <v>221</v>
      </c>
      <c r="B431" s="91" t="s">
        <v>480</v>
      </c>
      <c r="C431" s="74">
        <v>9</v>
      </c>
      <c r="D431" s="79">
        <v>40864</v>
      </c>
      <c r="E431" s="130" t="s">
        <v>415</v>
      </c>
      <c r="F431" s="130" t="s">
        <v>252</v>
      </c>
      <c r="G431" s="33">
        <v>3</v>
      </c>
      <c r="H431" s="33">
        <v>3</v>
      </c>
      <c r="I431" s="85">
        <v>70.6</v>
      </c>
      <c r="J431" s="84">
        <v>2</v>
      </c>
      <c r="K431" s="33">
        <v>2</v>
      </c>
      <c r="L431" s="84">
        <v>0</v>
      </c>
      <c r="M431" s="85">
        <v>35.1</v>
      </c>
      <c r="N431" s="85">
        <v>35.1</v>
      </c>
      <c r="O431" s="85">
        <v>0</v>
      </c>
      <c r="P431" s="84">
        <f>M431*34150</f>
        <v>1198665</v>
      </c>
      <c r="Q431" s="84">
        <f>P431*0.4478375458</f>
        <v>536807.191836357</v>
      </c>
      <c r="R431" s="84">
        <f>P431*0.39677453986</f>
        <v>475599.7538212869</v>
      </c>
      <c r="S431" s="84">
        <f>P431-Q431-R431</f>
        <v>186258.0543423561</v>
      </c>
      <c r="T431" s="84">
        <v>0</v>
      </c>
    </row>
    <row r="432" spans="1:20" ht="15.75">
      <c r="A432" s="148" t="s">
        <v>481</v>
      </c>
      <c r="B432" s="148"/>
      <c r="C432" s="58"/>
      <c r="D432" s="58"/>
      <c r="E432" s="58"/>
      <c r="F432" s="58"/>
      <c r="G432" s="58">
        <f>SUM(G433:G450)</f>
        <v>162</v>
      </c>
      <c r="H432" s="58">
        <f aca="true" t="shared" si="139" ref="H432:T432">SUM(H433:H450)</f>
        <v>162</v>
      </c>
      <c r="I432" s="82">
        <f t="shared" si="139"/>
        <v>3465.2</v>
      </c>
      <c r="J432" s="65">
        <f t="shared" si="139"/>
        <v>84</v>
      </c>
      <c r="K432" s="65">
        <f t="shared" si="139"/>
        <v>47</v>
      </c>
      <c r="L432" s="65">
        <f t="shared" si="139"/>
        <v>37</v>
      </c>
      <c r="M432" s="59">
        <f t="shared" si="139"/>
        <v>3016.7000000000003</v>
      </c>
      <c r="N432" s="59">
        <f t="shared" si="139"/>
        <v>1605.8999999999999</v>
      </c>
      <c r="O432" s="59">
        <f t="shared" si="139"/>
        <v>1410.8</v>
      </c>
      <c r="P432" s="65">
        <f>SUM(P433:P450)</f>
        <v>103020305</v>
      </c>
      <c r="Q432" s="65">
        <f t="shared" si="139"/>
        <v>49161999.99977836</v>
      </c>
      <c r="R432" s="65">
        <f t="shared" si="139"/>
        <v>43556199.999027684</v>
      </c>
      <c r="S432" s="65">
        <f t="shared" si="139"/>
        <v>10302105.001193963</v>
      </c>
      <c r="T432" s="65">
        <f t="shared" si="139"/>
        <v>0</v>
      </c>
    </row>
    <row r="433" spans="1:20" ht="31.5">
      <c r="A433" s="43">
        <v>222</v>
      </c>
      <c r="B433" s="132" t="s">
        <v>482</v>
      </c>
      <c r="C433" s="71">
        <v>12</v>
      </c>
      <c r="D433" s="72">
        <v>40885</v>
      </c>
      <c r="E433" s="130" t="s">
        <v>415</v>
      </c>
      <c r="F433" s="130" t="s">
        <v>252</v>
      </c>
      <c r="G433" s="58">
        <v>9</v>
      </c>
      <c r="H433" s="58">
        <v>9</v>
      </c>
      <c r="I433" s="59">
        <v>201.2</v>
      </c>
      <c r="J433" s="126">
        <v>6</v>
      </c>
      <c r="K433" s="126">
        <v>2</v>
      </c>
      <c r="L433" s="126">
        <v>4</v>
      </c>
      <c r="M433" s="59">
        <v>187.4</v>
      </c>
      <c r="N433" s="59">
        <v>60.3</v>
      </c>
      <c r="O433" s="73">
        <v>127.1</v>
      </c>
      <c r="P433" s="84">
        <f>M433*34150</f>
        <v>6399710</v>
      </c>
      <c r="Q433" s="65">
        <f>P433*0.47720689625</f>
        <v>3053985.7460000874</v>
      </c>
      <c r="R433" s="65">
        <f>P433*0.42279238058</f>
        <v>2705748.6259216317</v>
      </c>
      <c r="S433" s="65">
        <f>P433-Q433-R433</f>
        <v>639975.628078281</v>
      </c>
      <c r="T433" s="65">
        <v>0</v>
      </c>
    </row>
    <row r="434" spans="1:20" ht="31.5">
      <c r="A434" s="43">
        <f>A433+1</f>
        <v>223</v>
      </c>
      <c r="B434" s="132" t="s">
        <v>483</v>
      </c>
      <c r="C434" s="71">
        <v>8</v>
      </c>
      <c r="D434" s="72">
        <v>40885</v>
      </c>
      <c r="E434" s="130" t="s">
        <v>415</v>
      </c>
      <c r="F434" s="130" t="s">
        <v>252</v>
      </c>
      <c r="G434" s="58">
        <v>12</v>
      </c>
      <c r="H434" s="58">
        <v>12</v>
      </c>
      <c r="I434" s="59">
        <v>207.1</v>
      </c>
      <c r="J434" s="126">
        <v>6</v>
      </c>
      <c r="K434" s="126">
        <v>6</v>
      </c>
      <c r="L434" s="126">
        <v>0</v>
      </c>
      <c r="M434" s="59">
        <v>195.4</v>
      </c>
      <c r="N434" s="59">
        <v>195.4</v>
      </c>
      <c r="O434" s="73">
        <v>0</v>
      </c>
      <c r="P434" s="84">
        <f aca="true" t="shared" si="140" ref="P434:P450">M434*34150</f>
        <v>6672910</v>
      </c>
      <c r="Q434" s="65">
        <f aca="true" t="shared" si="141" ref="Q434:Q450">P434*0.47720689625</f>
        <v>3184358.670055588</v>
      </c>
      <c r="R434" s="65">
        <f aca="true" t="shared" si="142" ref="R434:R450">P434*0.42279238058</f>
        <v>2821255.504296088</v>
      </c>
      <c r="S434" s="65">
        <f aca="true" t="shared" si="143" ref="S434:S450">P434-Q434-R434</f>
        <v>667295.8256483241</v>
      </c>
      <c r="T434" s="65">
        <v>0</v>
      </c>
    </row>
    <row r="435" spans="1:20" ht="31.5">
      <c r="A435" s="43">
        <f aca="true" t="shared" si="144" ref="A435:A450">A434+1</f>
        <v>224</v>
      </c>
      <c r="B435" s="132" t="s">
        <v>653</v>
      </c>
      <c r="C435" s="71">
        <v>9</v>
      </c>
      <c r="D435" s="72">
        <v>40885</v>
      </c>
      <c r="E435" s="130" t="s">
        <v>415</v>
      </c>
      <c r="F435" s="130" t="s">
        <v>252</v>
      </c>
      <c r="G435" s="58">
        <v>11</v>
      </c>
      <c r="H435" s="58">
        <v>11</v>
      </c>
      <c r="I435" s="59">
        <v>213.1</v>
      </c>
      <c r="J435" s="126">
        <v>6</v>
      </c>
      <c r="K435" s="126">
        <v>6</v>
      </c>
      <c r="L435" s="126">
        <v>0</v>
      </c>
      <c r="M435" s="59">
        <v>191.4</v>
      </c>
      <c r="N435" s="59">
        <v>191.4</v>
      </c>
      <c r="O435" s="73">
        <v>0</v>
      </c>
      <c r="P435" s="84">
        <f t="shared" si="140"/>
        <v>6536310</v>
      </c>
      <c r="Q435" s="65">
        <f t="shared" si="141"/>
        <v>3119172.208027838</v>
      </c>
      <c r="R435" s="65">
        <f t="shared" si="142"/>
        <v>2763502.06510886</v>
      </c>
      <c r="S435" s="65">
        <f t="shared" si="143"/>
        <v>653635.7268633023</v>
      </c>
      <c r="T435" s="65">
        <v>0</v>
      </c>
    </row>
    <row r="436" spans="1:20" ht="31.5">
      <c r="A436" s="43">
        <f t="shared" si="144"/>
        <v>225</v>
      </c>
      <c r="B436" s="132" t="s">
        <v>484</v>
      </c>
      <c r="C436" s="71">
        <v>10</v>
      </c>
      <c r="D436" s="72">
        <v>40885</v>
      </c>
      <c r="E436" s="130" t="s">
        <v>415</v>
      </c>
      <c r="F436" s="130" t="s">
        <v>252</v>
      </c>
      <c r="G436" s="58">
        <v>11</v>
      </c>
      <c r="H436" s="58">
        <v>11</v>
      </c>
      <c r="I436" s="59">
        <v>206.3</v>
      </c>
      <c r="J436" s="126">
        <v>7</v>
      </c>
      <c r="K436" s="126">
        <v>7</v>
      </c>
      <c r="L436" s="126">
        <v>0</v>
      </c>
      <c r="M436" s="59">
        <v>192.7</v>
      </c>
      <c r="N436" s="59">
        <v>192.7</v>
      </c>
      <c r="O436" s="73">
        <v>0</v>
      </c>
      <c r="P436" s="84">
        <f t="shared" si="140"/>
        <v>6580705</v>
      </c>
      <c r="Q436" s="65">
        <f t="shared" si="141"/>
        <v>3140357.808186856</v>
      </c>
      <c r="R436" s="65">
        <f t="shared" si="142"/>
        <v>2782271.932844709</v>
      </c>
      <c r="S436" s="65">
        <f t="shared" si="143"/>
        <v>658075.2589684348</v>
      </c>
      <c r="T436" s="65">
        <v>0</v>
      </c>
    </row>
    <row r="437" spans="1:20" ht="31.5">
      <c r="A437" s="43">
        <f t="shared" si="144"/>
        <v>226</v>
      </c>
      <c r="B437" s="132" t="s">
        <v>485</v>
      </c>
      <c r="C437" s="71">
        <v>11</v>
      </c>
      <c r="D437" s="72">
        <v>40885</v>
      </c>
      <c r="E437" s="130" t="s">
        <v>415</v>
      </c>
      <c r="F437" s="130" t="s">
        <v>252</v>
      </c>
      <c r="G437" s="58">
        <v>8</v>
      </c>
      <c r="H437" s="58">
        <v>8</v>
      </c>
      <c r="I437" s="59">
        <v>203.2</v>
      </c>
      <c r="J437" s="126">
        <v>5</v>
      </c>
      <c r="K437" s="126">
        <v>2</v>
      </c>
      <c r="L437" s="126">
        <v>3</v>
      </c>
      <c r="M437" s="59">
        <v>182.2</v>
      </c>
      <c r="N437" s="59">
        <v>79</v>
      </c>
      <c r="O437" s="73">
        <v>103.2</v>
      </c>
      <c r="P437" s="84">
        <f t="shared" si="140"/>
        <v>6222130</v>
      </c>
      <c r="Q437" s="65">
        <f t="shared" si="141"/>
        <v>2969243.3453640128</v>
      </c>
      <c r="R437" s="65">
        <f t="shared" si="142"/>
        <v>2630669.1549782357</v>
      </c>
      <c r="S437" s="65">
        <f t="shared" si="143"/>
        <v>622217.4996577515</v>
      </c>
      <c r="T437" s="65">
        <v>0</v>
      </c>
    </row>
    <row r="438" spans="1:20" ht="31.5">
      <c r="A438" s="43">
        <f t="shared" si="144"/>
        <v>227</v>
      </c>
      <c r="B438" s="132" t="s">
        <v>486</v>
      </c>
      <c r="C438" s="71">
        <v>15</v>
      </c>
      <c r="D438" s="72">
        <v>40885</v>
      </c>
      <c r="E438" s="130" t="s">
        <v>415</v>
      </c>
      <c r="F438" s="130" t="s">
        <v>252</v>
      </c>
      <c r="G438" s="58">
        <v>9</v>
      </c>
      <c r="H438" s="58">
        <v>9</v>
      </c>
      <c r="I438" s="59">
        <v>186.5</v>
      </c>
      <c r="J438" s="126">
        <v>4</v>
      </c>
      <c r="K438" s="126">
        <v>2</v>
      </c>
      <c r="L438" s="126">
        <v>2</v>
      </c>
      <c r="M438" s="59">
        <v>131.4</v>
      </c>
      <c r="N438" s="59">
        <v>71.4</v>
      </c>
      <c r="O438" s="73">
        <v>60</v>
      </c>
      <c r="P438" s="84">
        <f t="shared" si="140"/>
        <v>4487310</v>
      </c>
      <c r="Q438" s="65">
        <f t="shared" si="141"/>
        <v>2141375.2776115877</v>
      </c>
      <c r="R438" s="65">
        <f t="shared" si="142"/>
        <v>1897200.47730044</v>
      </c>
      <c r="S438" s="65">
        <f t="shared" si="143"/>
        <v>448734.2450879724</v>
      </c>
      <c r="T438" s="65">
        <v>0</v>
      </c>
    </row>
    <row r="439" spans="1:20" ht="31.5">
      <c r="A439" s="43">
        <f t="shared" si="144"/>
        <v>228</v>
      </c>
      <c r="B439" s="132" t="s">
        <v>487</v>
      </c>
      <c r="C439" s="71">
        <v>16</v>
      </c>
      <c r="D439" s="72">
        <v>40885</v>
      </c>
      <c r="E439" s="130" t="s">
        <v>415</v>
      </c>
      <c r="F439" s="130" t="s">
        <v>252</v>
      </c>
      <c r="G439" s="58">
        <v>13</v>
      </c>
      <c r="H439" s="58">
        <v>13</v>
      </c>
      <c r="I439" s="59">
        <v>207.3</v>
      </c>
      <c r="J439" s="126">
        <v>6</v>
      </c>
      <c r="K439" s="126">
        <v>3</v>
      </c>
      <c r="L439" s="126">
        <v>3</v>
      </c>
      <c r="M439" s="59">
        <v>201.3</v>
      </c>
      <c r="N439" s="59">
        <v>102.9</v>
      </c>
      <c r="O439" s="73">
        <v>98.4</v>
      </c>
      <c r="P439" s="84">
        <f t="shared" si="140"/>
        <v>6874395</v>
      </c>
      <c r="Q439" s="65">
        <f t="shared" si="141"/>
        <v>3280508.701546519</v>
      </c>
      <c r="R439" s="65">
        <f t="shared" si="142"/>
        <v>2906441.827097249</v>
      </c>
      <c r="S439" s="65">
        <f t="shared" si="143"/>
        <v>687444.4713562317</v>
      </c>
      <c r="T439" s="65">
        <v>0</v>
      </c>
    </row>
    <row r="440" spans="1:20" ht="31.5">
      <c r="A440" s="43">
        <f t="shared" si="144"/>
        <v>229</v>
      </c>
      <c r="B440" s="132" t="s">
        <v>488</v>
      </c>
      <c r="C440" s="71">
        <v>17</v>
      </c>
      <c r="D440" s="72">
        <v>40885</v>
      </c>
      <c r="E440" s="130" t="s">
        <v>415</v>
      </c>
      <c r="F440" s="130" t="s">
        <v>252</v>
      </c>
      <c r="G440" s="58">
        <v>4</v>
      </c>
      <c r="H440" s="58">
        <v>4</v>
      </c>
      <c r="I440" s="59">
        <v>92.7</v>
      </c>
      <c r="J440" s="126">
        <v>2</v>
      </c>
      <c r="K440" s="126">
        <v>0</v>
      </c>
      <c r="L440" s="126">
        <v>2</v>
      </c>
      <c r="M440" s="59">
        <v>66.7</v>
      </c>
      <c r="N440" s="59">
        <v>0</v>
      </c>
      <c r="O440" s="73">
        <v>66.7</v>
      </c>
      <c r="P440" s="84">
        <f t="shared" si="140"/>
        <v>2277805</v>
      </c>
      <c r="Q440" s="65">
        <f t="shared" si="141"/>
        <v>1086984.2543127313</v>
      </c>
      <c r="R440" s="65">
        <f t="shared" si="142"/>
        <v>963038.5984470269</v>
      </c>
      <c r="S440" s="65">
        <f t="shared" si="143"/>
        <v>227782.14724024176</v>
      </c>
      <c r="T440" s="65">
        <v>0</v>
      </c>
    </row>
    <row r="441" spans="1:20" ht="31.5">
      <c r="A441" s="43">
        <f t="shared" si="144"/>
        <v>230</v>
      </c>
      <c r="B441" s="132" t="s">
        <v>489</v>
      </c>
      <c r="C441" s="71">
        <v>18</v>
      </c>
      <c r="D441" s="72">
        <v>40885</v>
      </c>
      <c r="E441" s="130" t="s">
        <v>415</v>
      </c>
      <c r="F441" s="130" t="s">
        <v>252</v>
      </c>
      <c r="G441" s="58">
        <v>10</v>
      </c>
      <c r="H441" s="58">
        <v>10</v>
      </c>
      <c r="I441" s="59">
        <v>131.9</v>
      </c>
      <c r="J441" s="58">
        <v>5</v>
      </c>
      <c r="K441" s="58">
        <v>2</v>
      </c>
      <c r="L441" s="58">
        <v>3</v>
      </c>
      <c r="M441" s="59">
        <v>124.5</v>
      </c>
      <c r="N441" s="59">
        <v>59.4</v>
      </c>
      <c r="O441" s="59">
        <v>65.1</v>
      </c>
      <c r="P441" s="84">
        <f t="shared" si="140"/>
        <v>4251675</v>
      </c>
      <c r="Q441" s="65">
        <f t="shared" si="141"/>
        <v>2028928.6306137189</v>
      </c>
      <c r="R441" s="65">
        <f t="shared" si="142"/>
        <v>1797575.7947024715</v>
      </c>
      <c r="S441" s="65">
        <f t="shared" si="143"/>
        <v>425170.5746838094</v>
      </c>
      <c r="T441" s="65">
        <v>0</v>
      </c>
    </row>
    <row r="442" spans="1:20" ht="31.5">
      <c r="A442" s="43">
        <f t="shared" si="144"/>
        <v>231</v>
      </c>
      <c r="B442" s="132" t="s">
        <v>490</v>
      </c>
      <c r="C442" s="71">
        <v>19</v>
      </c>
      <c r="D442" s="72">
        <v>40885</v>
      </c>
      <c r="E442" s="130" t="s">
        <v>415</v>
      </c>
      <c r="F442" s="130" t="s">
        <v>252</v>
      </c>
      <c r="G442" s="58">
        <v>7</v>
      </c>
      <c r="H442" s="58">
        <v>7</v>
      </c>
      <c r="I442" s="59">
        <v>193.4</v>
      </c>
      <c r="J442" s="58">
        <v>5</v>
      </c>
      <c r="K442" s="58">
        <v>4</v>
      </c>
      <c r="L442" s="58">
        <v>1</v>
      </c>
      <c r="M442" s="59">
        <v>167.9</v>
      </c>
      <c r="N442" s="82">
        <v>33.5</v>
      </c>
      <c r="O442" s="82">
        <v>134.4</v>
      </c>
      <c r="P442" s="84">
        <f t="shared" si="140"/>
        <v>5733785</v>
      </c>
      <c r="Q442" s="65">
        <f t="shared" si="141"/>
        <v>2736201.7436148063</v>
      </c>
      <c r="R442" s="65">
        <f t="shared" si="142"/>
        <v>2424200.6098838956</v>
      </c>
      <c r="S442" s="65">
        <f t="shared" si="143"/>
        <v>573382.6465012981</v>
      </c>
      <c r="T442" s="65">
        <v>0</v>
      </c>
    </row>
    <row r="443" spans="1:20" ht="31.5">
      <c r="A443" s="43">
        <f t="shared" si="144"/>
        <v>232</v>
      </c>
      <c r="B443" s="132" t="s">
        <v>491</v>
      </c>
      <c r="C443" s="71">
        <v>20</v>
      </c>
      <c r="D443" s="72">
        <v>40885</v>
      </c>
      <c r="E443" s="130" t="s">
        <v>415</v>
      </c>
      <c r="F443" s="130" t="s">
        <v>252</v>
      </c>
      <c r="G443" s="58">
        <v>6</v>
      </c>
      <c r="H443" s="58">
        <v>6</v>
      </c>
      <c r="I443" s="59">
        <v>106</v>
      </c>
      <c r="J443" s="58">
        <v>5</v>
      </c>
      <c r="K443" s="58">
        <v>3</v>
      </c>
      <c r="L443" s="58">
        <v>2</v>
      </c>
      <c r="M443" s="59">
        <v>84.1</v>
      </c>
      <c r="N443" s="82">
        <v>53.1</v>
      </c>
      <c r="O443" s="82">
        <v>31</v>
      </c>
      <c r="P443" s="84">
        <f t="shared" si="140"/>
        <v>2872015</v>
      </c>
      <c r="Q443" s="65">
        <f t="shared" si="141"/>
        <v>1370545.3641334437</v>
      </c>
      <c r="R443" s="65">
        <f t="shared" si="142"/>
        <v>1214266.0589114688</v>
      </c>
      <c r="S443" s="65">
        <f t="shared" si="143"/>
        <v>287203.5769550875</v>
      </c>
      <c r="T443" s="65">
        <v>0</v>
      </c>
    </row>
    <row r="444" spans="1:20" ht="31.5">
      <c r="A444" s="43">
        <f t="shared" si="144"/>
        <v>233</v>
      </c>
      <c r="B444" s="132" t="s">
        <v>492</v>
      </c>
      <c r="C444" s="71">
        <v>22</v>
      </c>
      <c r="D444" s="72">
        <v>40885</v>
      </c>
      <c r="E444" s="130" t="s">
        <v>415</v>
      </c>
      <c r="F444" s="130" t="s">
        <v>252</v>
      </c>
      <c r="G444" s="58">
        <v>3</v>
      </c>
      <c r="H444" s="58">
        <v>3</v>
      </c>
      <c r="I444" s="59">
        <v>150.7</v>
      </c>
      <c r="J444" s="58">
        <v>2</v>
      </c>
      <c r="K444" s="58">
        <v>2</v>
      </c>
      <c r="L444" s="58">
        <v>0</v>
      </c>
      <c r="M444" s="59">
        <v>124.6</v>
      </c>
      <c r="N444" s="82">
        <v>124.6</v>
      </c>
      <c r="O444" s="82">
        <v>0</v>
      </c>
      <c r="P444" s="84">
        <f t="shared" si="140"/>
        <v>4255090</v>
      </c>
      <c r="Q444" s="65">
        <f t="shared" si="141"/>
        <v>2030558.2921644126</v>
      </c>
      <c r="R444" s="65">
        <f t="shared" si="142"/>
        <v>1799019.6306821522</v>
      </c>
      <c r="S444" s="65">
        <f t="shared" si="143"/>
        <v>425512.07715343544</v>
      </c>
      <c r="T444" s="65">
        <v>0</v>
      </c>
    </row>
    <row r="445" spans="1:20" ht="31.5">
      <c r="A445" s="43">
        <f t="shared" si="144"/>
        <v>234</v>
      </c>
      <c r="B445" s="132" t="s">
        <v>493</v>
      </c>
      <c r="C445" s="71">
        <v>23</v>
      </c>
      <c r="D445" s="72">
        <v>40885</v>
      </c>
      <c r="E445" s="130" t="s">
        <v>415</v>
      </c>
      <c r="F445" s="130" t="s">
        <v>252</v>
      </c>
      <c r="G445" s="58">
        <v>10</v>
      </c>
      <c r="H445" s="58">
        <v>10</v>
      </c>
      <c r="I445" s="59">
        <v>170.4</v>
      </c>
      <c r="J445" s="58">
        <v>4</v>
      </c>
      <c r="K445" s="58">
        <v>1</v>
      </c>
      <c r="L445" s="58">
        <v>3</v>
      </c>
      <c r="M445" s="59">
        <v>136.7</v>
      </c>
      <c r="N445" s="82">
        <v>45.9</v>
      </c>
      <c r="O445" s="82">
        <v>90.8</v>
      </c>
      <c r="P445" s="84">
        <f t="shared" si="140"/>
        <v>4668305</v>
      </c>
      <c r="Q445" s="65">
        <f t="shared" si="141"/>
        <v>2227747.3397983564</v>
      </c>
      <c r="R445" s="65">
        <f t="shared" si="142"/>
        <v>1973723.784223517</v>
      </c>
      <c r="S445" s="65">
        <f t="shared" si="143"/>
        <v>466833.87597812666</v>
      </c>
      <c r="T445" s="65">
        <v>0</v>
      </c>
    </row>
    <row r="446" spans="1:20" ht="31.5">
      <c r="A446" s="43">
        <f t="shared" si="144"/>
        <v>235</v>
      </c>
      <c r="B446" s="132" t="s">
        <v>494</v>
      </c>
      <c r="C446" s="71">
        <v>24</v>
      </c>
      <c r="D446" s="72">
        <v>40885</v>
      </c>
      <c r="E446" s="130" t="s">
        <v>415</v>
      </c>
      <c r="F446" s="130" t="s">
        <v>252</v>
      </c>
      <c r="G446" s="58">
        <v>6</v>
      </c>
      <c r="H446" s="58">
        <v>6</v>
      </c>
      <c r="I446" s="59">
        <v>79.9</v>
      </c>
      <c r="J446" s="58">
        <v>2</v>
      </c>
      <c r="K446" s="58">
        <v>0</v>
      </c>
      <c r="L446" s="58">
        <v>2</v>
      </c>
      <c r="M446" s="59">
        <v>59.9</v>
      </c>
      <c r="N446" s="82">
        <v>0</v>
      </c>
      <c r="O446" s="82">
        <v>59.9</v>
      </c>
      <c r="P446" s="84">
        <f t="shared" si="140"/>
        <v>2045585</v>
      </c>
      <c r="Q446" s="65">
        <f t="shared" si="141"/>
        <v>976167.2688655562</v>
      </c>
      <c r="R446" s="65">
        <f t="shared" si="142"/>
        <v>864857.7518287393</v>
      </c>
      <c r="S446" s="65">
        <f t="shared" si="143"/>
        <v>204559.97930570447</v>
      </c>
      <c r="T446" s="65">
        <v>0</v>
      </c>
    </row>
    <row r="447" spans="1:20" ht="47.25">
      <c r="A447" s="43">
        <f t="shared" si="144"/>
        <v>236</v>
      </c>
      <c r="B447" s="132" t="s">
        <v>495</v>
      </c>
      <c r="C447" s="71">
        <v>25</v>
      </c>
      <c r="D447" s="72">
        <v>40885</v>
      </c>
      <c r="E447" s="130" t="s">
        <v>415</v>
      </c>
      <c r="F447" s="130" t="s">
        <v>252</v>
      </c>
      <c r="G447" s="58">
        <v>4</v>
      </c>
      <c r="H447" s="58">
        <v>4</v>
      </c>
      <c r="I447" s="59">
        <v>116.6</v>
      </c>
      <c r="J447" s="126">
        <v>2</v>
      </c>
      <c r="K447" s="126">
        <v>0</v>
      </c>
      <c r="L447" s="126">
        <v>2</v>
      </c>
      <c r="M447" s="59">
        <v>92.9</v>
      </c>
      <c r="N447" s="59">
        <v>0</v>
      </c>
      <c r="O447" s="73">
        <v>92.9</v>
      </c>
      <c r="P447" s="84">
        <f t="shared" si="140"/>
        <v>3172535</v>
      </c>
      <c r="Q447" s="65">
        <f t="shared" si="141"/>
        <v>1513955.5805944938</v>
      </c>
      <c r="R447" s="65">
        <f t="shared" si="142"/>
        <v>1341323.6251233704</v>
      </c>
      <c r="S447" s="65">
        <f t="shared" si="143"/>
        <v>317255.7942821358</v>
      </c>
      <c r="T447" s="65">
        <v>0</v>
      </c>
    </row>
    <row r="448" spans="1:20" ht="47.25">
      <c r="A448" s="43">
        <f t="shared" si="144"/>
        <v>237</v>
      </c>
      <c r="B448" s="132" t="s">
        <v>496</v>
      </c>
      <c r="C448" s="71">
        <v>26</v>
      </c>
      <c r="D448" s="72">
        <v>40885</v>
      </c>
      <c r="E448" s="130" t="s">
        <v>415</v>
      </c>
      <c r="F448" s="130" t="s">
        <v>252</v>
      </c>
      <c r="G448" s="58">
        <v>11</v>
      </c>
      <c r="H448" s="58">
        <v>11</v>
      </c>
      <c r="I448" s="59">
        <v>298.5</v>
      </c>
      <c r="J448" s="126">
        <v>6</v>
      </c>
      <c r="K448" s="126">
        <v>0</v>
      </c>
      <c r="L448" s="126">
        <v>6</v>
      </c>
      <c r="M448" s="59">
        <v>273.1</v>
      </c>
      <c r="N448" s="59">
        <v>0</v>
      </c>
      <c r="O448" s="73">
        <v>273.1</v>
      </c>
      <c r="P448" s="84">
        <f t="shared" si="140"/>
        <v>9326365</v>
      </c>
      <c r="Q448" s="65">
        <f t="shared" si="141"/>
        <v>4450605.694944631</v>
      </c>
      <c r="R448" s="65">
        <f t="shared" si="142"/>
        <v>3943116.060507992</v>
      </c>
      <c r="S448" s="65">
        <f t="shared" si="143"/>
        <v>932643.2445473769</v>
      </c>
      <c r="T448" s="65">
        <v>0</v>
      </c>
    </row>
    <row r="449" spans="1:20" ht="31.5">
      <c r="A449" s="43">
        <f t="shared" si="144"/>
        <v>238</v>
      </c>
      <c r="B449" s="132" t="s">
        <v>497</v>
      </c>
      <c r="C449" s="71">
        <v>28</v>
      </c>
      <c r="D449" s="72">
        <v>40885</v>
      </c>
      <c r="E449" s="130" t="s">
        <v>415</v>
      </c>
      <c r="F449" s="130" t="s">
        <v>252</v>
      </c>
      <c r="G449" s="58">
        <v>21</v>
      </c>
      <c r="H449" s="58">
        <v>21</v>
      </c>
      <c r="I449" s="59">
        <v>490.7</v>
      </c>
      <c r="J449" s="126">
        <v>8</v>
      </c>
      <c r="K449" s="126">
        <v>7</v>
      </c>
      <c r="L449" s="126">
        <v>1</v>
      </c>
      <c r="M449" s="59">
        <v>453.7</v>
      </c>
      <c r="N449" s="59">
        <v>396.3</v>
      </c>
      <c r="O449" s="73">
        <v>57.4</v>
      </c>
      <c r="P449" s="84">
        <f t="shared" si="140"/>
        <v>15493855</v>
      </c>
      <c r="Q449" s="65">
        <f t="shared" si="141"/>
        <v>7393774.455497544</v>
      </c>
      <c r="R449" s="65">
        <f t="shared" si="142"/>
        <v>6550683.839811336</v>
      </c>
      <c r="S449" s="65">
        <f t="shared" si="143"/>
        <v>1549396.7046911195</v>
      </c>
      <c r="T449" s="65">
        <v>0</v>
      </c>
    </row>
    <row r="450" spans="1:20" ht="31.5">
      <c r="A450" s="43">
        <f t="shared" si="144"/>
        <v>239</v>
      </c>
      <c r="B450" s="132" t="s">
        <v>498</v>
      </c>
      <c r="C450" s="71">
        <v>29</v>
      </c>
      <c r="D450" s="72">
        <v>40885</v>
      </c>
      <c r="E450" s="130" t="s">
        <v>415</v>
      </c>
      <c r="F450" s="130" t="s">
        <v>252</v>
      </c>
      <c r="G450" s="58">
        <v>7</v>
      </c>
      <c r="H450" s="58">
        <v>7</v>
      </c>
      <c r="I450" s="59">
        <v>209.7</v>
      </c>
      <c r="J450" s="126">
        <v>3</v>
      </c>
      <c r="K450" s="126">
        <v>0</v>
      </c>
      <c r="L450" s="126">
        <v>3</v>
      </c>
      <c r="M450" s="59">
        <v>150.8</v>
      </c>
      <c r="N450" s="59">
        <v>0</v>
      </c>
      <c r="O450" s="73">
        <v>150.8</v>
      </c>
      <c r="P450" s="84">
        <f t="shared" si="140"/>
        <v>5149820</v>
      </c>
      <c r="Q450" s="65">
        <f t="shared" si="141"/>
        <v>2457529.618446175</v>
      </c>
      <c r="R450" s="65">
        <f t="shared" si="142"/>
        <v>2177304.6573584955</v>
      </c>
      <c r="S450" s="65">
        <f t="shared" si="143"/>
        <v>514985.7241953295</v>
      </c>
      <c r="T450" s="65">
        <v>0</v>
      </c>
    </row>
    <row r="451" spans="1:20" ht="15.75">
      <c r="A451" s="151" t="s">
        <v>499</v>
      </c>
      <c r="B451" s="151"/>
      <c r="C451" s="58"/>
      <c r="D451" s="58"/>
      <c r="E451" s="58"/>
      <c r="F451" s="58"/>
      <c r="G451" s="58">
        <v>13</v>
      </c>
      <c r="H451" s="58">
        <v>13</v>
      </c>
      <c r="I451" s="59">
        <v>118.8</v>
      </c>
      <c r="J451" s="58">
        <v>2</v>
      </c>
      <c r="K451" s="58">
        <v>0</v>
      </c>
      <c r="L451" s="58">
        <v>2</v>
      </c>
      <c r="M451" s="59">
        <v>118.8</v>
      </c>
      <c r="N451" s="59">
        <v>0</v>
      </c>
      <c r="O451" s="59">
        <v>118.8</v>
      </c>
      <c r="P451" s="65">
        <f>P452</f>
        <v>4057020</v>
      </c>
      <c r="Q451" s="65">
        <f>Q452</f>
        <v>1936000</v>
      </c>
      <c r="R451" s="65">
        <f>R452</f>
        <v>1715300</v>
      </c>
      <c r="S451" s="65">
        <f>S452</f>
        <v>405720</v>
      </c>
      <c r="T451" s="65">
        <f>T452</f>
        <v>0</v>
      </c>
    </row>
    <row r="452" spans="1:20" ht="31.5">
      <c r="A452" s="43">
        <v>240</v>
      </c>
      <c r="B452" s="47" t="s">
        <v>500</v>
      </c>
      <c r="C452" s="71">
        <v>2</v>
      </c>
      <c r="D452" s="72">
        <v>40869</v>
      </c>
      <c r="E452" s="130" t="s">
        <v>415</v>
      </c>
      <c r="F452" s="130" t="s">
        <v>252</v>
      </c>
      <c r="G452" s="58">
        <v>13</v>
      </c>
      <c r="H452" s="58">
        <v>13</v>
      </c>
      <c r="I452" s="59">
        <v>118.8</v>
      </c>
      <c r="J452" s="71">
        <v>2</v>
      </c>
      <c r="K452" s="71">
        <v>0</v>
      </c>
      <c r="L452" s="71">
        <v>2</v>
      </c>
      <c r="M452" s="73">
        <v>118.8</v>
      </c>
      <c r="N452" s="73">
        <v>0</v>
      </c>
      <c r="O452" s="73">
        <v>118.8</v>
      </c>
      <c r="P452" s="84">
        <f>M452*34150</f>
        <v>4057020</v>
      </c>
      <c r="Q452" s="65">
        <v>1936000</v>
      </c>
      <c r="R452" s="65">
        <v>1715300</v>
      </c>
      <c r="S452" s="65">
        <f>P452-Q452-R452</f>
        <v>405720</v>
      </c>
      <c r="T452" s="65">
        <v>0</v>
      </c>
    </row>
    <row r="453" spans="1:20" ht="15.75">
      <c r="A453" s="151" t="s">
        <v>74</v>
      </c>
      <c r="B453" s="151"/>
      <c r="C453" s="58"/>
      <c r="D453" s="58"/>
      <c r="E453" s="58"/>
      <c r="F453" s="58"/>
      <c r="G453" s="58">
        <f aca="true" t="shared" si="145" ref="G453:O453">SUM(G454:G457)</f>
        <v>86</v>
      </c>
      <c r="H453" s="58">
        <f t="shared" si="145"/>
        <v>86</v>
      </c>
      <c r="I453" s="59">
        <f t="shared" si="145"/>
        <v>745.5</v>
      </c>
      <c r="J453" s="58">
        <f t="shared" si="145"/>
        <v>37</v>
      </c>
      <c r="K453" s="58">
        <f t="shared" si="145"/>
        <v>6</v>
      </c>
      <c r="L453" s="58">
        <f t="shared" si="145"/>
        <v>31</v>
      </c>
      <c r="M453" s="59">
        <f t="shared" si="145"/>
        <v>745.5</v>
      </c>
      <c r="N453" s="59">
        <f t="shared" si="145"/>
        <v>176.3</v>
      </c>
      <c r="O453" s="59">
        <f t="shared" si="145"/>
        <v>569.2</v>
      </c>
      <c r="P453" s="65">
        <f>P454+P455+P456+P457</f>
        <v>25458825</v>
      </c>
      <c r="Q453" s="65">
        <f>Q454+Q455+Q456+Q457</f>
        <v>12481599.999926921</v>
      </c>
      <c r="R453" s="65">
        <f>R454+R455+R456+R457</f>
        <v>11058399.999993818</v>
      </c>
      <c r="S453" s="65">
        <f>S454+S455+S456+S457</f>
        <v>1918825.000079262</v>
      </c>
      <c r="T453" s="65">
        <f>T454+T455+T456+T457</f>
        <v>0</v>
      </c>
    </row>
    <row r="454" spans="1:20" ht="47.25">
      <c r="A454" s="43">
        <v>241</v>
      </c>
      <c r="B454" s="57" t="s">
        <v>501</v>
      </c>
      <c r="C454" s="58">
        <v>20</v>
      </c>
      <c r="D454" s="72">
        <v>40752</v>
      </c>
      <c r="E454" s="130" t="s">
        <v>415</v>
      </c>
      <c r="F454" s="130" t="s">
        <v>252</v>
      </c>
      <c r="G454" s="58">
        <v>5</v>
      </c>
      <c r="H454" s="58">
        <v>5</v>
      </c>
      <c r="I454" s="59">
        <v>72.4</v>
      </c>
      <c r="J454" s="58">
        <v>3</v>
      </c>
      <c r="K454" s="58">
        <v>2</v>
      </c>
      <c r="L454" s="58">
        <v>1</v>
      </c>
      <c r="M454" s="59">
        <v>72.4</v>
      </c>
      <c r="N454" s="59">
        <v>45.4</v>
      </c>
      <c r="O454" s="59">
        <v>27</v>
      </c>
      <c r="P454" s="84">
        <f>M454*34150</f>
        <v>2472460</v>
      </c>
      <c r="Q454" s="65">
        <f>P454*0.49026614543</f>
        <v>1212163.4339298578</v>
      </c>
      <c r="R454" s="65">
        <f>P454*0.43436411539</f>
        <v>1073947.9007371594</v>
      </c>
      <c r="S454" s="65">
        <f>P454-Q454-R454</f>
        <v>186348.66533298278</v>
      </c>
      <c r="T454" s="65">
        <v>0</v>
      </c>
    </row>
    <row r="455" spans="1:20" ht="47.25">
      <c r="A455" s="43">
        <f>A454+1</f>
        <v>242</v>
      </c>
      <c r="B455" s="57" t="s">
        <v>502</v>
      </c>
      <c r="C455" s="58">
        <v>18</v>
      </c>
      <c r="D455" s="72">
        <v>40752</v>
      </c>
      <c r="E455" s="130" t="s">
        <v>415</v>
      </c>
      <c r="F455" s="130" t="s">
        <v>252</v>
      </c>
      <c r="G455" s="58">
        <v>4</v>
      </c>
      <c r="H455" s="58">
        <v>4</v>
      </c>
      <c r="I455" s="59">
        <v>53.9</v>
      </c>
      <c r="J455" s="58">
        <v>2</v>
      </c>
      <c r="K455" s="58">
        <v>2</v>
      </c>
      <c r="L455" s="58">
        <v>0</v>
      </c>
      <c r="M455" s="59">
        <v>53.9</v>
      </c>
      <c r="N455" s="59">
        <v>53.9</v>
      </c>
      <c r="O455" s="59">
        <v>0</v>
      </c>
      <c r="P455" s="84">
        <f>M455*34150</f>
        <v>1840685</v>
      </c>
      <c r="Q455" s="65">
        <f>P455*0.49026614543</f>
        <v>902425.5399008195</v>
      </c>
      <c r="R455" s="65">
        <f>P455*0.43436411539</f>
        <v>799527.5117366422</v>
      </c>
      <c r="S455" s="65">
        <f>P455-Q455-R455</f>
        <v>138731.94836253824</v>
      </c>
      <c r="T455" s="65">
        <v>0</v>
      </c>
    </row>
    <row r="456" spans="1:20" ht="47.25">
      <c r="A456" s="43">
        <f>A455+1</f>
        <v>243</v>
      </c>
      <c r="B456" s="57" t="s">
        <v>503</v>
      </c>
      <c r="C456" s="58">
        <v>19</v>
      </c>
      <c r="D456" s="72">
        <v>40752</v>
      </c>
      <c r="E456" s="130" t="s">
        <v>415</v>
      </c>
      <c r="F456" s="130" t="s">
        <v>252</v>
      </c>
      <c r="G456" s="58">
        <v>6</v>
      </c>
      <c r="H456" s="58">
        <v>6</v>
      </c>
      <c r="I456" s="59">
        <v>77</v>
      </c>
      <c r="J456" s="58">
        <v>2</v>
      </c>
      <c r="K456" s="58">
        <v>2</v>
      </c>
      <c r="L456" s="58">
        <v>0</v>
      </c>
      <c r="M456" s="59">
        <v>77</v>
      </c>
      <c r="N456" s="59">
        <v>77</v>
      </c>
      <c r="O456" s="59">
        <v>0</v>
      </c>
      <c r="P456" s="84">
        <f>M456*34150</f>
        <v>2629550</v>
      </c>
      <c r="Q456" s="65">
        <f>P456*0.49026614543</f>
        <v>1289179.3427154566</v>
      </c>
      <c r="R456" s="65">
        <f>P456*0.43436411539</f>
        <v>1142182.1596237745</v>
      </c>
      <c r="S456" s="65">
        <f>P456-Q456-R456</f>
        <v>198188.49766076892</v>
      </c>
      <c r="T456" s="65">
        <v>0</v>
      </c>
    </row>
    <row r="457" spans="1:20" ht="47.25">
      <c r="A457" s="43">
        <f>A456+1</f>
        <v>244</v>
      </c>
      <c r="B457" s="57" t="s">
        <v>504</v>
      </c>
      <c r="C457" s="58">
        <v>17</v>
      </c>
      <c r="D457" s="72">
        <v>40752</v>
      </c>
      <c r="E457" s="130" t="s">
        <v>415</v>
      </c>
      <c r="F457" s="130" t="s">
        <v>252</v>
      </c>
      <c r="G457" s="58">
        <v>71</v>
      </c>
      <c r="H457" s="58">
        <v>71</v>
      </c>
      <c r="I457" s="59">
        <v>542.2</v>
      </c>
      <c r="J457" s="58">
        <v>30</v>
      </c>
      <c r="K457" s="58">
        <v>0</v>
      </c>
      <c r="L457" s="58">
        <v>30</v>
      </c>
      <c r="M457" s="59">
        <v>542.2</v>
      </c>
      <c r="N457" s="59">
        <v>0</v>
      </c>
      <c r="O457" s="59">
        <v>542.2</v>
      </c>
      <c r="P457" s="84">
        <f>M457*34150</f>
        <v>18516130</v>
      </c>
      <c r="Q457" s="65">
        <f>P457*0.49026614543</f>
        <v>9077831.683380786</v>
      </c>
      <c r="R457" s="65">
        <f>P457*0.43436411539</f>
        <v>8042742.427896242</v>
      </c>
      <c r="S457" s="65">
        <f>P457-Q457-R457</f>
        <v>1395555.888722972</v>
      </c>
      <c r="T457" s="65">
        <v>0</v>
      </c>
    </row>
    <row r="458" spans="1:20" ht="15.75">
      <c r="A458" s="151" t="s">
        <v>505</v>
      </c>
      <c r="B458" s="151"/>
      <c r="C458" s="58"/>
      <c r="D458" s="71"/>
      <c r="E458" s="74"/>
      <c r="F458" s="71"/>
      <c r="G458" s="71">
        <f>G459+G460+G461+G462+G463+G464</f>
        <v>35</v>
      </c>
      <c r="H458" s="71">
        <f aca="true" t="shared" si="146" ref="H458:N458">H459+H460+H461+H462+H463+H464</f>
        <v>35</v>
      </c>
      <c r="I458" s="73">
        <f t="shared" si="146"/>
        <v>588.4</v>
      </c>
      <c r="J458" s="71">
        <f t="shared" si="146"/>
        <v>14</v>
      </c>
      <c r="K458" s="71">
        <f t="shared" si="146"/>
        <v>0</v>
      </c>
      <c r="L458" s="71">
        <f t="shared" si="146"/>
        <v>14</v>
      </c>
      <c r="M458" s="73">
        <f t="shared" si="146"/>
        <v>588.4</v>
      </c>
      <c r="N458" s="73">
        <f t="shared" si="146"/>
        <v>0</v>
      </c>
      <c r="O458" s="73">
        <f aca="true" t="shared" si="147" ref="O458:T458">O459+O460+O461+O462+O463+O464</f>
        <v>588.4</v>
      </c>
      <c r="P458" s="126">
        <f t="shared" si="147"/>
        <v>20093860</v>
      </c>
      <c r="Q458" s="126">
        <f t="shared" si="147"/>
        <v>9588899.999855341</v>
      </c>
      <c r="R458" s="126">
        <f t="shared" si="147"/>
        <v>8495499.99988362</v>
      </c>
      <c r="S458" s="126">
        <f t="shared" si="147"/>
        <v>2009460.0002610376</v>
      </c>
      <c r="T458" s="126">
        <f t="shared" si="147"/>
        <v>758130</v>
      </c>
    </row>
    <row r="459" spans="1:20" ht="31.5">
      <c r="A459" s="43">
        <v>245</v>
      </c>
      <c r="B459" s="47" t="s">
        <v>507</v>
      </c>
      <c r="C459" s="58">
        <v>13</v>
      </c>
      <c r="D459" s="130">
        <v>40762</v>
      </c>
      <c r="E459" s="130" t="s">
        <v>415</v>
      </c>
      <c r="F459" s="130" t="s">
        <v>252</v>
      </c>
      <c r="G459" s="71">
        <v>5</v>
      </c>
      <c r="H459" s="71">
        <v>5</v>
      </c>
      <c r="I459" s="73">
        <v>77.08</v>
      </c>
      <c r="J459" s="71">
        <v>2</v>
      </c>
      <c r="K459" s="33">
        <v>0</v>
      </c>
      <c r="L459" s="71">
        <v>2</v>
      </c>
      <c r="M459" s="73">
        <v>77.08</v>
      </c>
      <c r="N459" s="85">
        <v>0</v>
      </c>
      <c r="O459" s="73">
        <f aca="true" t="shared" si="148" ref="O459:O464">M459-N459</f>
        <v>77.08</v>
      </c>
      <c r="P459" s="84">
        <f aca="true" t="shared" si="149" ref="P459:P464">M459*34150</f>
        <v>2632282</v>
      </c>
      <c r="Q459" s="126">
        <f aca="true" t="shared" si="150" ref="Q459:Q464">P459*0.4772054747</f>
        <v>1256139.3813542654</v>
      </c>
      <c r="R459" s="84">
        <f aca="true" t="shared" si="151" ref="R459:R464">P459*0.42279084257</f>
        <v>1112904.7246618448</v>
      </c>
      <c r="S459" s="126">
        <f aca="true" t="shared" si="152" ref="S459:S464">P459-Q459-R459</f>
        <v>263237.89398388984</v>
      </c>
      <c r="T459" s="126">
        <v>113378</v>
      </c>
    </row>
    <row r="460" spans="1:20" ht="31.5">
      <c r="A460" s="43">
        <f>A459+1</f>
        <v>246</v>
      </c>
      <c r="B460" s="47" t="s">
        <v>508</v>
      </c>
      <c r="C460" s="58">
        <v>14</v>
      </c>
      <c r="D460" s="130">
        <v>40762</v>
      </c>
      <c r="E460" s="130" t="s">
        <v>415</v>
      </c>
      <c r="F460" s="130" t="s">
        <v>252</v>
      </c>
      <c r="G460" s="71">
        <v>4</v>
      </c>
      <c r="H460" s="71">
        <v>4</v>
      </c>
      <c r="I460" s="73">
        <v>77.08</v>
      </c>
      <c r="J460" s="71">
        <v>2</v>
      </c>
      <c r="K460" s="33">
        <v>0</v>
      </c>
      <c r="L460" s="71">
        <v>2</v>
      </c>
      <c r="M460" s="73">
        <v>77.08</v>
      </c>
      <c r="N460" s="85">
        <v>0</v>
      </c>
      <c r="O460" s="73">
        <f t="shared" si="148"/>
        <v>77.08</v>
      </c>
      <c r="P460" s="84">
        <f t="shared" si="149"/>
        <v>2632282</v>
      </c>
      <c r="Q460" s="126">
        <f t="shared" si="150"/>
        <v>1256139.3813542654</v>
      </c>
      <c r="R460" s="84">
        <f t="shared" si="151"/>
        <v>1112904.7246618448</v>
      </c>
      <c r="S460" s="126">
        <f t="shared" si="152"/>
        <v>263237.89398388984</v>
      </c>
      <c r="T460" s="126">
        <v>113378</v>
      </c>
    </row>
    <row r="461" spans="1:20" ht="31.5">
      <c r="A461" s="43">
        <f>A460+1</f>
        <v>247</v>
      </c>
      <c r="B461" s="47" t="s">
        <v>509</v>
      </c>
      <c r="C461" s="58">
        <v>15</v>
      </c>
      <c r="D461" s="130">
        <v>40762</v>
      </c>
      <c r="E461" s="130" t="s">
        <v>415</v>
      </c>
      <c r="F461" s="130" t="s">
        <v>252</v>
      </c>
      <c r="G461" s="71">
        <v>7</v>
      </c>
      <c r="H461" s="71">
        <v>7</v>
      </c>
      <c r="I461" s="73">
        <v>77.08</v>
      </c>
      <c r="J461" s="71">
        <v>2</v>
      </c>
      <c r="K461" s="33">
        <v>0</v>
      </c>
      <c r="L461" s="71">
        <v>2</v>
      </c>
      <c r="M461" s="73">
        <v>77.08</v>
      </c>
      <c r="N461" s="85">
        <v>0</v>
      </c>
      <c r="O461" s="73">
        <f t="shared" si="148"/>
        <v>77.08</v>
      </c>
      <c r="P461" s="84">
        <f t="shared" si="149"/>
        <v>2632282</v>
      </c>
      <c r="Q461" s="126">
        <f t="shared" si="150"/>
        <v>1256139.3813542654</v>
      </c>
      <c r="R461" s="84">
        <f t="shared" si="151"/>
        <v>1112904.7246618448</v>
      </c>
      <c r="S461" s="126">
        <f t="shared" si="152"/>
        <v>263237.89398388984</v>
      </c>
      <c r="T461" s="126">
        <v>113378</v>
      </c>
    </row>
    <row r="462" spans="1:20" ht="31.5">
      <c r="A462" s="43">
        <f>A461+1</f>
        <v>248</v>
      </c>
      <c r="B462" s="47" t="s">
        <v>510</v>
      </c>
      <c r="C462" s="58">
        <v>16</v>
      </c>
      <c r="D462" s="130">
        <v>40762</v>
      </c>
      <c r="E462" s="130" t="s">
        <v>415</v>
      </c>
      <c r="F462" s="130" t="s">
        <v>252</v>
      </c>
      <c r="G462" s="71">
        <v>10</v>
      </c>
      <c r="H462" s="71">
        <v>10</v>
      </c>
      <c r="I462" s="73">
        <v>77.08</v>
      </c>
      <c r="J462" s="71">
        <v>2</v>
      </c>
      <c r="K462" s="33">
        <v>0</v>
      </c>
      <c r="L462" s="71">
        <v>2</v>
      </c>
      <c r="M462" s="73">
        <v>77.08</v>
      </c>
      <c r="N462" s="85">
        <v>0</v>
      </c>
      <c r="O462" s="73">
        <f t="shared" si="148"/>
        <v>77.08</v>
      </c>
      <c r="P462" s="84">
        <f t="shared" si="149"/>
        <v>2632282</v>
      </c>
      <c r="Q462" s="126">
        <f t="shared" si="150"/>
        <v>1256139.3813542654</v>
      </c>
      <c r="R462" s="84">
        <f t="shared" si="151"/>
        <v>1112904.7246618448</v>
      </c>
      <c r="S462" s="126">
        <f t="shared" si="152"/>
        <v>263237.89398388984</v>
      </c>
      <c r="T462" s="126">
        <v>113378</v>
      </c>
    </row>
    <row r="463" spans="1:20" ht="31.5">
      <c r="A463" s="43">
        <f>A462+1</f>
        <v>249</v>
      </c>
      <c r="B463" s="47" t="s">
        <v>511</v>
      </c>
      <c r="C463" s="58">
        <v>17</v>
      </c>
      <c r="D463" s="130">
        <v>40762</v>
      </c>
      <c r="E463" s="130" t="s">
        <v>415</v>
      </c>
      <c r="F463" s="130" t="s">
        <v>252</v>
      </c>
      <c r="G463" s="71">
        <v>5</v>
      </c>
      <c r="H463" s="71">
        <v>5</v>
      </c>
      <c r="I463" s="73">
        <v>77.08</v>
      </c>
      <c r="J463" s="71">
        <v>2</v>
      </c>
      <c r="K463" s="33">
        <v>0</v>
      </c>
      <c r="L463" s="71">
        <v>2</v>
      </c>
      <c r="M463" s="73">
        <v>77.08</v>
      </c>
      <c r="N463" s="85">
        <v>0</v>
      </c>
      <c r="O463" s="73">
        <f t="shared" si="148"/>
        <v>77.08</v>
      </c>
      <c r="P463" s="84">
        <f t="shared" si="149"/>
        <v>2632282</v>
      </c>
      <c r="Q463" s="126">
        <f t="shared" si="150"/>
        <v>1256139.3813542654</v>
      </c>
      <c r="R463" s="84">
        <f t="shared" si="151"/>
        <v>1112904.7246618448</v>
      </c>
      <c r="S463" s="126">
        <f t="shared" si="152"/>
        <v>263237.89398388984</v>
      </c>
      <c r="T463" s="126">
        <v>113378</v>
      </c>
    </row>
    <row r="464" spans="1:20" ht="31.5">
      <c r="A464" s="43">
        <f>A463+1</f>
        <v>250</v>
      </c>
      <c r="B464" s="47" t="s">
        <v>512</v>
      </c>
      <c r="C464" s="58">
        <v>18</v>
      </c>
      <c r="D464" s="130">
        <v>40762</v>
      </c>
      <c r="E464" s="130" t="s">
        <v>415</v>
      </c>
      <c r="F464" s="130" t="s">
        <v>252</v>
      </c>
      <c r="G464" s="71">
        <v>4</v>
      </c>
      <c r="H464" s="71">
        <v>4</v>
      </c>
      <c r="I464" s="73">
        <v>203</v>
      </c>
      <c r="J464" s="71">
        <v>4</v>
      </c>
      <c r="K464" s="33">
        <v>0</v>
      </c>
      <c r="L464" s="71">
        <v>4</v>
      </c>
      <c r="M464" s="73">
        <v>203</v>
      </c>
      <c r="N464" s="85">
        <v>0</v>
      </c>
      <c r="O464" s="73">
        <f t="shared" si="148"/>
        <v>203</v>
      </c>
      <c r="P464" s="84">
        <f t="shared" si="149"/>
        <v>6932450</v>
      </c>
      <c r="Q464" s="126">
        <f t="shared" si="150"/>
        <v>3308203.093084015</v>
      </c>
      <c r="R464" s="84">
        <f t="shared" si="151"/>
        <v>2930976.3765743966</v>
      </c>
      <c r="S464" s="126">
        <f t="shared" si="152"/>
        <v>693270.5303415884</v>
      </c>
      <c r="T464" s="126">
        <v>191240</v>
      </c>
    </row>
    <row r="465" spans="1:20" ht="15.75">
      <c r="A465" s="151" t="s">
        <v>513</v>
      </c>
      <c r="B465" s="151"/>
      <c r="C465" s="58"/>
      <c r="D465" s="58"/>
      <c r="E465" s="58"/>
      <c r="F465" s="58"/>
      <c r="G465" s="58">
        <f>G466+G467+G468+G469+G470</f>
        <v>94</v>
      </c>
      <c r="H465" s="58">
        <f aca="true" t="shared" si="153" ref="H465:O465">H466+H467+H468+H469+H470</f>
        <v>94</v>
      </c>
      <c r="I465" s="59">
        <f t="shared" si="153"/>
        <v>1675.6</v>
      </c>
      <c r="J465" s="58">
        <f t="shared" si="153"/>
        <v>36</v>
      </c>
      <c r="K465" s="58">
        <f t="shared" si="153"/>
        <v>30</v>
      </c>
      <c r="L465" s="58">
        <f t="shared" si="153"/>
        <v>6</v>
      </c>
      <c r="M465" s="59">
        <f t="shared" si="153"/>
        <v>1675.6</v>
      </c>
      <c r="N465" s="59">
        <f t="shared" si="153"/>
        <v>1396.4</v>
      </c>
      <c r="O465" s="59">
        <f t="shared" si="153"/>
        <v>279.2</v>
      </c>
      <c r="P465" s="65">
        <f>P466+P467+P468+P469+P470</f>
        <v>57221740</v>
      </c>
      <c r="Q465" s="65">
        <f>Q466+Q467+Q468+Q469+Q470</f>
        <v>27306599.999666516</v>
      </c>
      <c r="R465" s="65">
        <f>R466+R467+R468+R469+R470</f>
        <v>24192999.999774743</v>
      </c>
      <c r="S465" s="65">
        <f>S466+S467+S468+S469+S470</f>
        <v>5722140.000558744</v>
      </c>
      <c r="T465" s="58">
        <f>T466+T467+T468+T469+T470</f>
        <v>0</v>
      </c>
    </row>
    <row r="466" spans="1:20" ht="31.5">
      <c r="A466" s="43">
        <v>251</v>
      </c>
      <c r="B466" s="57" t="s">
        <v>514</v>
      </c>
      <c r="C466" s="71">
        <v>18</v>
      </c>
      <c r="D466" s="72">
        <v>40885</v>
      </c>
      <c r="E466" s="130" t="s">
        <v>415</v>
      </c>
      <c r="F466" s="130" t="s">
        <v>252</v>
      </c>
      <c r="G466" s="58">
        <v>5</v>
      </c>
      <c r="H466" s="58">
        <v>5</v>
      </c>
      <c r="I466" s="59">
        <v>82.6</v>
      </c>
      <c r="J466" s="71">
        <v>2</v>
      </c>
      <c r="K466" s="71">
        <v>1</v>
      </c>
      <c r="L466" s="71">
        <v>1</v>
      </c>
      <c r="M466" s="59">
        <v>82.6</v>
      </c>
      <c r="N466" s="59">
        <v>41.3</v>
      </c>
      <c r="O466" s="73">
        <v>41.3</v>
      </c>
      <c r="P466" s="84">
        <f>M466*34150</f>
        <v>2820790</v>
      </c>
      <c r="Q466" s="65">
        <f>P466*0.47720673995</f>
        <v>1346099.9999835605</v>
      </c>
      <c r="R466" s="65">
        <f>P466*0.42279385422</f>
        <v>1192612.6760452338</v>
      </c>
      <c r="S466" s="65">
        <f>P466-Q466-R466</f>
        <v>282077.3239712056</v>
      </c>
      <c r="T466" s="65">
        <v>0</v>
      </c>
    </row>
    <row r="467" spans="1:20" ht="31.5">
      <c r="A467" s="43">
        <f>A466+1</f>
        <v>252</v>
      </c>
      <c r="B467" s="57" t="s">
        <v>515</v>
      </c>
      <c r="C467" s="71">
        <v>19</v>
      </c>
      <c r="D467" s="72">
        <v>40885</v>
      </c>
      <c r="E467" s="130" t="s">
        <v>415</v>
      </c>
      <c r="F467" s="130" t="s">
        <v>252</v>
      </c>
      <c r="G467" s="58">
        <v>17</v>
      </c>
      <c r="H467" s="58">
        <v>17</v>
      </c>
      <c r="I467" s="59">
        <v>254.4</v>
      </c>
      <c r="J467" s="71">
        <v>6</v>
      </c>
      <c r="K467" s="71">
        <v>6</v>
      </c>
      <c r="L467" s="71">
        <v>0</v>
      </c>
      <c r="M467" s="59">
        <v>254.4</v>
      </c>
      <c r="N467" s="59">
        <v>254.4</v>
      </c>
      <c r="O467" s="73">
        <v>0</v>
      </c>
      <c r="P467" s="84">
        <f>M467*34150</f>
        <v>8687760</v>
      </c>
      <c r="Q467" s="65">
        <f>P467*0.47720673995</f>
        <v>4145857.627068012</v>
      </c>
      <c r="R467" s="65">
        <f>P467*0.42279385422</f>
        <v>3673131.534938347</v>
      </c>
      <c r="S467" s="65">
        <f>P467-Q467-R467</f>
        <v>868770.8379936409</v>
      </c>
      <c r="T467" s="65">
        <v>0</v>
      </c>
    </row>
    <row r="468" spans="1:20" ht="31.5">
      <c r="A468" s="43">
        <f>A467+1</f>
        <v>253</v>
      </c>
      <c r="B468" s="57" t="s">
        <v>516</v>
      </c>
      <c r="C468" s="71">
        <v>22</v>
      </c>
      <c r="D468" s="72">
        <v>40824</v>
      </c>
      <c r="E468" s="130" t="s">
        <v>415</v>
      </c>
      <c r="F468" s="130" t="s">
        <v>252</v>
      </c>
      <c r="G468" s="58">
        <v>20</v>
      </c>
      <c r="H468" s="58">
        <v>20</v>
      </c>
      <c r="I468" s="59">
        <v>357.7</v>
      </c>
      <c r="J468" s="71">
        <v>7</v>
      </c>
      <c r="K468" s="71">
        <v>5</v>
      </c>
      <c r="L468" s="71">
        <v>2</v>
      </c>
      <c r="M468" s="59">
        <v>357.7</v>
      </c>
      <c r="N468" s="59">
        <v>260</v>
      </c>
      <c r="O468" s="73">
        <v>97.7</v>
      </c>
      <c r="P468" s="84">
        <f>M468*34150</f>
        <v>12215455</v>
      </c>
      <c r="Q468" s="65">
        <f>P468*0.47720673995</f>
        <v>5829297.457555927</v>
      </c>
      <c r="R468" s="65">
        <f>P468*0.42279385422</f>
        <v>5164619.30050097</v>
      </c>
      <c r="S468" s="65">
        <f>P468-Q468-R468</f>
        <v>1221538.2419431023</v>
      </c>
      <c r="T468" s="65">
        <v>0</v>
      </c>
    </row>
    <row r="469" spans="1:20" ht="31.5">
      <c r="A469" s="43">
        <f>A468+1</f>
        <v>254</v>
      </c>
      <c r="B469" s="57" t="s">
        <v>517</v>
      </c>
      <c r="C469" s="71">
        <v>24</v>
      </c>
      <c r="D469" s="72">
        <v>40824</v>
      </c>
      <c r="E469" s="130" t="s">
        <v>415</v>
      </c>
      <c r="F469" s="130" t="s">
        <v>252</v>
      </c>
      <c r="G469" s="58">
        <v>10</v>
      </c>
      <c r="H469" s="58">
        <v>10</v>
      </c>
      <c r="I469" s="59">
        <v>153.8</v>
      </c>
      <c r="J469" s="71">
        <v>4</v>
      </c>
      <c r="K469" s="71">
        <v>4</v>
      </c>
      <c r="L469" s="71">
        <v>0</v>
      </c>
      <c r="M469" s="59">
        <v>153.8</v>
      </c>
      <c r="N469" s="59">
        <v>153.8</v>
      </c>
      <c r="O469" s="73">
        <v>0</v>
      </c>
      <c r="P469" s="84">
        <f>M469*34150</f>
        <v>5252270</v>
      </c>
      <c r="Q469" s="65">
        <f>P469*0.47720673995</f>
        <v>2506418.6440371866</v>
      </c>
      <c r="R469" s="65">
        <f>P469*0.42279385422</f>
        <v>2220627.476704079</v>
      </c>
      <c r="S469" s="65">
        <f>P469-Q469-R469</f>
        <v>525223.8792587342</v>
      </c>
      <c r="T469" s="65">
        <v>0</v>
      </c>
    </row>
    <row r="470" spans="1:20" ht="47.25">
      <c r="A470" s="43">
        <f>A469+1</f>
        <v>255</v>
      </c>
      <c r="B470" s="57" t="s">
        <v>518</v>
      </c>
      <c r="C470" s="71">
        <v>17</v>
      </c>
      <c r="D470" s="72">
        <v>40824</v>
      </c>
      <c r="E470" s="130" t="s">
        <v>415</v>
      </c>
      <c r="F470" s="130" t="s">
        <v>252</v>
      </c>
      <c r="G470" s="58">
        <v>42</v>
      </c>
      <c r="H470" s="58">
        <v>42</v>
      </c>
      <c r="I470" s="59">
        <v>827.1</v>
      </c>
      <c r="J470" s="71">
        <v>17</v>
      </c>
      <c r="K470" s="71">
        <v>14</v>
      </c>
      <c r="L470" s="71">
        <v>3</v>
      </c>
      <c r="M470" s="59">
        <v>827.1</v>
      </c>
      <c r="N470" s="59">
        <v>686.9</v>
      </c>
      <c r="O470" s="73">
        <v>140.2</v>
      </c>
      <c r="P470" s="84">
        <f>M470*34150</f>
        <v>28245465</v>
      </c>
      <c r="Q470" s="65">
        <f>P470*0.47720673995</f>
        <v>13478926.271021828</v>
      </c>
      <c r="R470" s="65">
        <f>P470*0.42279385422</f>
        <v>11942009.011586111</v>
      </c>
      <c r="S470" s="65">
        <f>P470-Q470-R470</f>
        <v>2824529.717392061</v>
      </c>
      <c r="T470" s="65">
        <v>0</v>
      </c>
    </row>
    <row r="471" spans="1:20" ht="15.75">
      <c r="A471" s="151" t="s">
        <v>519</v>
      </c>
      <c r="B471" s="151"/>
      <c r="C471" s="58"/>
      <c r="D471" s="58"/>
      <c r="E471" s="58"/>
      <c r="F471" s="58"/>
      <c r="G471" s="58">
        <f>G472+G473+G474</f>
        <v>29</v>
      </c>
      <c r="H471" s="58">
        <f aca="true" t="shared" si="154" ref="H471:O471">H472+H473+H474</f>
        <v>29</v>
      </c>
      <c r="I471" s="59">
        <f t="shared" si="154"/>
        <v>388</v>
      </c>
      <c r="J471" s="58">
        <f t="shared" si="154"/>
        <v>10</v>
      </c>
      <c r="K471" s="58">
        <f t="shared" si="154"/>
        <v>4</v>
      </c>
      <c r="L471" s="58">
        <f t="shared" si="154"/>
        <v>6</v>
      </c>
      <c r="M471" s="59">
        <f t="shared" si="154"/>
        <v>388</v>
      </c>
      <c r="N471" s="59">
        <f t="shared" si="154"/>
        <v>134.8</v>
      </c>
      <c r="O471" s="59">
        <f t="shared" si="154"/>
        <v>253.2</v>
      </c>
      <c r="P471" s="65">
        <f>P472+P473+P474</f>
        <v>13250200</v>
      </c>
      <c r="Q471" s="65">
        <f>Q472+Q473+Q474</f>
        <v>6323099.999978241</v>
      </c>
      <c r="R471" s="65">
        <f>R472+R473+R474</f>
        <v>5602099.99987364</v>
      </c>
      <c r="S471" s="65">
        <f>S472+S473+S474</f>
        <v>1325000.0001481199</v>
      </c>
      <c r="T471" s="65">
        <f>T472+T473+T474</f>
        <v>0</v>
      </c>
    </row>
    <row r="472" spans="1:20" ht="31.5">
      <c r="A472" s="43">
        <v>256</v>
      </c>
      <c r="B472" s="57" t="s">
        <v>641</v>
      </c>
      <c r="C472" s="71">
        <v>56</v>
      </c>
      <c r="D472" s="72">
        <v>40569</v>
      </c>
      <c r="E472" s="130" t="s">
        <v>415</v>
      </c>
      <c r="F472" s="130" t="s">
        <v>252</v>
      </c>
      <c r="G472" s="58">
        <v>12</v>
      </c>
      <c r="H472" s="58">
        <v>12</v>
      </c>
      <c r="I472" s="59">
        <v>160</v>
      </c>
      <c r="J472" s="71">
        <v>4</v>
      </c>
      <c r="K472" s="71">
        <v>2</v>
      </c>
      <c r="L472" s="71">
        <v>2</v>
      </c>
      <c r="M472" s="59">
        <v>160</v>
      </c>
      <c r="N472" s="59">
        <v>77.4</v>
      </c>
      <c r="O472" s="73">
        <v>82.6</v>
      </c>
      <c r="P472" s="84">
        <f>M472*34150</f>
        <v>5464000</v>
      </c>
      <c r="Q472" s="65">
        <f>P472*0.4772078912</f>
        <v>2607463.9175168</v>
      </c>
      <c r="R472" s="81">
        <f>P472*0.4227936182</f>
        <v>2310144.3298448</v>
      </c>
      <c r="S472" s="65">
        <f>P472-Q472-R472</f>
        <v>546391.7526384001</v>
      </c>
      <c r="T472" s="65">
        <v>0</v>
      </c>
    </row>
    <row r="473" spans="1:20" ht="31.5">
      <c r="A473" s="43">
        <f>A472+1</f>
        <v>257</v>
      </c>
      <c r="B473" s="57" t="s">
        <v>642</v>
      </c>
      <c r="C473" s="71">
        <v>51</v>
      </c>
      <c r="D473" s="72">
        <v>40569</v>
      </c>
      <c r="E473" s="130" t="s">
        <v>415</v>
      </c>
      <c r="F473" s="130" t="s">
        <v>252</v>
      </c>
      <c r="G473" s="58">
        <v>10</v>
      </c>
      <c r="H473" s="58">
        <v>10</v>
      </c>
      <c r="I473" s="59">
        <v>110</v>
      </c>
      <c r="J473" s="71">
        <v>4</v>
      </c>
      <c r="K473" s="71">
        <v>2</v>
      </c>
      <c r="L473" s="71">
        <v>2</v>
      </c>
      <c r="M473" s="59">
        <v>110</v>
      </c>
      <c r="N473" s="59">
        <v>57.4</v>
      </c>
      <c r="O473" s="73">
        <v>52.6</v>
      </c>
      <c r="P473" s="84">
        <f>M473*34150</f>
        <v>3756500</v>
      </c>
      <c r="Q473" s="65">
        <f>P473*0.4772078912</f>
        <v>1792631.4432928</v>
      </c>
      <c r="R473" s="81">
        <f>P473*0.4227936182</f>
        <v>1588224.2267683</v>
      </c>
      <c r="S473" s="65">
        <f>P473-Q473-R473</f>
        <v>375644.32993889996</v>
      </c>
      <c r="T473" s="65">
        <v>0</v>
      </c>
    </row>
    <row r="474" spans="1:20" ht="31.5">
      <c r="A474" s="43">
        <f>A473+1</f>
        <v>258</v>
      </c>
      <c r="B474" s="57" t="s">
        <v>643</v>
      </c>
      <c r="C474" s="71">
        <v>78</v>
      </c>
      <c r="D474" s="72">
        <v>40893</v>
      </c>
      <c r="E474" s="130" t="s">
        <v>415</v>
      </c>
      <c r="F474" s="130" t="s">
        <v>252</v>
      </c>
      <c r="G474" s="58">
        <v>7</v>
      </c>
      <c r="H474" s="58">
        <v>7</v>
      </c>
      <c r="I474" s="59">
        <v>118</v>
      </c>
      <c r="J474" s="71">
        <v>2</v>
      </c>
      <c r="K474" s="71">
        <v>0</v>
      </c>
      <c r="L474" s="71">
        <v>2</v>
      </c>
      <c r="M474" s="59">
        <v>118</v>
      </c>
      <c r="N474" s="59">
        <v>0</v>
      </c>
      <c r="O474" s="73">
        <v>118</v>
      </c>
      <c r="P474" s="84">
        <f>M474*34150</f>
        <v>4029700</v>
      </c>
      <c r="Q474" s="65">
        <f>P474*0.4772078912</f>
        <v>1923004.6391686401</v>
      </c>
      <c r="R474" s="81">
        <f>P474*0.4227936182</f>
        <v>1703731.44326054</v>
      </c>
      <c r="S474" s="65">
        <f>P474-Q474-R474</f>
        <v>402963.91757081985</v>
      </c>
      <c r="T474" s="65">
        <v>0</v>
      </c>
    </row>
    <row r="475" spans="1:20" ht="15.75">
      <c r="A475" s="149" t="s">
        <v>572</v>
      </c>
      <c r="B475" s="149"/>
      <c r="C475" s="58"/>
      <c r="D475" s="58"/>
      <c r="E475" s="58"/>
      <c r="F475" s="58"/>
      <c r="G475" s="65">
        <f>G476+G483+G496+G502+G527+G530+G553+G566+G581+G584+G586+G589+G596+G602</f>
        <v>1116</v>
      </c>
      <c r="H475" s="65">
        <f aca="true" t="shared" si="155" ref="H475:O475">H476+H483+H496+H502+H527+H530+H553+H566+H581+H584+H586+H589+H596+H602</f>
        <v>1116</v>
      </c>
      <c r="I475" s="59">
        <f t="shared" si="155"/>
        <v>17013.409999999996</v>
      </c>
      <c r="J475" s="65">
        <f t="shared" si="155"/>
        <v>476</v>
      </c>
      <c r="K475" s="65">
        <f t="shared" si="155"/>
        <v>260</v>
      </c>
      <c r="L475" s="65">
        <f t="shared" si="155"/>
        <v>216</v>
      </c>
      <c r="M475" s="59">
        <f t="shared" si="155"/>
        <v>16528.01</v>
      </c>
      <c r="N475" s="59">
        <f t="shared" si="155"/>
        <v>9016.05</v>
      </c>
      <c r="O475" s="59">
        <f t="shared" si="155"/>
        <v>7511.959999999999</v>
      </c>
      <c r="P475" s="65">
        <v>564431542</v>
      </c>
      <c r="Q475" s="65">
        <f>Q476+Q483+Q496+Q502+Q527+Q530+Q553+Q566+Q581+Q584+Q586+Q589+Q596+Q602</f>
        <v>247064099.78249776</v>
      </c>
      <c r="R475" s="65">
        <v>196595400</v>
      </c>
      <c r="S475" s="65">
        <v>120772042</v>
      </c>
      <c r="T475" s="65">
        <f>T476+T483+T496+T502+T527+T530+T553+T566+T581+T584+T586+T589+T596+T602</f>
        <v>1245109</v>
      </c>
    </row>
    <row r="476" spans="1:20" ht="15.75">
      <c r="A476" s="149" t="s">
        <v>614</v>
      </c>
      <c r="B476" s="149"/>
      <c r="C476" s="58"/>
      <c r="D476" s="58"/>
      <c r="E476" s="58"/>
      <c r="F476" s="58"/>
      <c r="G476" s="58">
        <f>G477+G478+G479+G480+G481+G482</f>
        <v>81</v>
      </c>
      <c r="H476" s="58">
        <f aca="true" t="shared" si="156" ref="H476:O476">H477+H478+H479+H480+H481+H482</f>
        <v>81</v>
      </c>
      <c r="I476" s="59">
        <f t="shared" si="156"/>
        <v>1483.41</v>
      </c>
      <c r="J476" s="58">
        <f t="shared" si="156"/>
        <v>38</v>
      </c>
      <c r="K476" s="58">
        <f t="shared" si="156"/>
        <v>18</v>
      </c>
      <c r="L476" s="58">
        <f t="shared" si="156"/>
        <v>20</v>
      </c>
      <c r="M476" s="59">
        <f t="shared" si="156"/>
        <v>1483.41</v>
      </c>
      <c r="N476" s="59">
        <f t="shared" si="156"/>
        <v>321.02</v>
      </c>
      <c r="O476" s="59">
        <f t="shared" si="156"/>
        <v>1162.39</v>
      </c>
      <c r="P476" s="65">
        <v>50658451</v>
      </c>
      <c r="Q476" s="65">
        <f>Q477+Q478+Q479+Q480+Q481+Q482</f>
        <v>21710699.785681784</v>
      </c>
      <c r="R476" s="65">
        <f>R477+R478+R479+R480+R481+R482</f>
        <v>19234999.810112745</v>
      </c>
      <c r="S476" s="65">
        <v>9712751</v>
      </c>
      <c r="T476" s="65">
        <f>T477+T478+T479+T480+T481+T482</f>
        <v>0</v>
      </c>
    </row>
    <row r="477" spans="1:20" ht="31.5">
      <c r="A477" s="128">
        <v>1</v>
      </c>
      <c r="B477" s="127" t="s">
        <v>520</v>
      </c>
      <c r="C477" s="58">
        <v>9</v>
      </c>
      <c r="D477" s="72">
        <v>38033</v>
      </c>
      <c r="E477" s="130" t="s">
        <v>525</v>
      </c>
      <c r="F477" s="130" t="s">
        <v>525</v>
      </c>
      <c r="G477" s="58">
        <v>39</v>
      </c>
      <c r="H477" s="58">
        <v>39</v>
      </c>
      <c r="I477" s="59">
        <v>600.45</v>
      </c>
      <c r="J477" s="58">
        <v>16</v>
      </c>
      <c r="K477" s="58">
        <v>11</v>
      </c>
      <c r="L477" s="58">
        <v>5</v>
      </c>
      <c r="M477" s="59">
        <v>600.45</v>
      </c>
      <c r="N477" s="59">
        <v>36.17</v>
      </c>
      <c r="O477" s="59">
        <f aca="true" t="shared" si="157" ref="O477:O482">M477-N477</f>
        <v>564.2800000000001</v>
      </c>
      <c r="P477" s="84">
        <f aca="true" t="shared" si="158" ref="P477:P482">M477*34150</f>
        <v>20505367.5</v>
      </c>
      <c r="Q477" s="65">
        <f aca="true" t="shared" si="159" ref="Q477:Q482">P477*0.428570142648</f>
        <v>8787988.274524663</v>
      </c>
      <c r="R477" s="65">
        <f aca="true" t="shared" si="160" ref="R477:R482">P477*0.379699719209</f>
        <v>7785882.2820273535</v>
      </c>
      <c r="S477" s="65">
        <f aca="true" t="shared" si="161" ref="S477:S482">P477-Q477-R477</f>
        <v>3931496.943447984</v>
      </c>
      <c r="T477" s="65">
        <v>0</v>
      </c>
    </row>
    <row r="478" spans="1:20" ht="31.5">
      <c r="A478" s="128">
        <f>A477+1</f>
        <v>2</v>
      </c>
      <c r="B478" s="127" t="s">
        <v>521</v>
      </c>
      <c r="C478" s="58">
        <v>14</v>
      </c>
      <c r="D478" s="72">
        <v>38033</v>
      </c>
      <c r="E478" s="130" t="s">
        <v>525</v>
      </c>
      <c r="F478" s="130" t="s">
        <v>525</v>
      </c>
      <c r="G478" s="58">
        <v>3</v>
      </c>
      <c r="H478" s="58">
        <v>3</v>
      </c>
      <c r="I478" s="59">
        <v>117.1</v>
      </c>
      <c r="J478" s="58">
        <v>3</v>
      </c>
      <c r="K478" s="58">
        <v>3</v>
      </c>
      <c r="L478" s="58">
        <v>0</v>
      </c>
      <c r="M478" s="59">
        <v>117.1</v>
      </c>
      <c r="N478" s="59">
        <v>117.1</v>
      </c>
      <c r="O478" s="59">
        <f t="shared" si="157"/>
        <v>0</v>
      </c>
      <c r="P478" s="84">
        <f t="shared" si="158"/>
        <v>3998965</v>
      </c>
      <c r="Q478" s="65">
        <f t="shared" si="159"/>
        <v>1713837.0004943593</v>
      </c>
      <c r="R478" s="65">
        <f t="shared" si="160"/>
        <v>1518405.8876266186</v>
      </c>
      <c r="S478" s="65">
        <f>P478-Q478-R478</f>
        <v>766722.1118790223</v>
      </c>
      <c r="T478" s="65">
        <v>0</v>
      </c>
    </row>
    <row r="479" spans="1:20" ht="31.5">
      <c r="A479" s="128">
        <f>A478+1</f>
        <v>3</v>
      </c>
      <c r="B479" s="57" t="s">
        <v>522</v>
      </c>
      <c r="C479" s="71">
        <v>61</v>
      </c>
      <c r="D479" s="72">
        <v>38043</v>
      </c>
      <c r="E479" s="130" t="s">
        <v>525</v>
      </c>
      <c r="F479" s="130" t="s">
        <v>525</v>
      </c>
      <c r="G479" s="58">
        <v>6</v>
      </c>
      <c r="H479" s="58">
        <v>6</v>
      </c>
      <c r="I479" s="59">
        <v>63.9</v>
      </c>
      <c r="J479" s="71">
        <v>2</v>
      </c>
      <c r="K479" s="71">
        <v>0</v>
      </c>
      <c r="L479" s="71">
        <v>2</v>
      </c>
      <c r="M479" s="59">
        <v>63.9</v>
      </c>
      <c r="N479" s="59">
        <v>0</v>
      </c>
      <c r="O479" s="59">
        <f t="shared" si="157"/>
        <v>63.9</v>
      </c>
      <c r="P479" s="84">
        <f t="shared" si="158"/>
        <v>2182185</v>
      </c>
      <c r="Q479" s="65">
        <f t="shared" si="159"/>
        <v>935219.3367343259</v>
      </c>
      <c r="R479" s="65">
        <f>P479*0.379699719209</f>
        <v>828575.0317620916</v>
      </c>
      <c r="S479" s="65">
        <f t="shared" si="161"/>
        <v>418390.6315035826</v>
      </c>
      <c r="T479" s="65">
        <v>0</v>
      </c>
    </row>
    <row r="480" spans="1:20" ht="31.5">
      <c r="A480" s="128">
        <f>A479+1</f>
        <v>4</v>
      </c>
      <c r="B480" s="127" t="s">
        <v>523</v>
      </c>
      <c r="C480" s="58">
        <v>13</v>
      </c>
      <c r="D480" s="72">
        <v>38033</v>
      </c>
      <c r="E480" s="130" t="s">
        <v>525</v>
      </c>
      <c r="F480" s="130" t="s">
        <v>525</v>
      </c>
      <c r="G480" s="58">
        <v>20</v>
      </c>
      <c r="H480" s="58">
        <v>20</v>
      </c>
      <c r="I480" s="59">
        <v>396</v>
      </c>
      <c r="J480" s="58">
        <v>8</v>
      </c>
      <c r="K480" s="58">
        <v>0</v>
      </c>
      <c r="L480" s="58">
        <v>8</v>
      </c>
      <c r="M480" s="59">
        <v>396</v>
      </c>
      <c r="N480" s="59">
        <v>0</v>
      </c>
      <c r="O480" s="59">
        <f t="shared" si="157"/>
        <v>396</v>
      </c>
      <c r="P480" s="84">
        <f t="shared" si="158"/>
        <v>13523400</v>
      </c>
      <c r="Q480" s="65">
        <f t="shared" si="159"/>
        <v>5795725.467085963</v>
      </c>
      <c r="R480" s="65">
        <f t="shared" si="160"/>
        <v>5134831.182750991</v>
      </c>
      <c r="S480" s="65">
        <f t="shared" si="161"/>
        <v>2592843.3501630463</v>
      </c>
      <c r="T480" s="65">
        <v>0</v>
      </c>
    </row>
    <row r="481" spans="1:20" ht="31.5">
      <c r="A481" s="128">
        <f>A480+1</f>
        <v>5</v>
      </c>
      <c r="B481" s="57" t="s">
        <v>524</v>
      </c>
      <c r="C481" s="71">
        <v>42</v>
      </c>
      <c r="D481" s="72">
        <v>38036</v>
      </c>
      <c r="E481" s="130" t="s">
        <v>525</v>
      </c>
      <c r="F481" s="130" t="s">
        <v>525</v>
      </c>
      <c r="G481" s="58">
        <v>11</v>
      </c>
      <c r="H481" s="58">
        <v>11</v>
      </c>
      <c r="I481" s="59">
        <v>217.21</v>
      </c>
      <c r="J481" s="71">
        <v>7</v>
      </c>
      <c r="K481" s="71">
        <v>2</v>
      </c>
      <c r="L481" s="71">
        <v>5</v>
      </c>
      <c r="M481" s="59">
        <v>217.21</v>
      </c>
      <c r="N481" s="59">
        <v>79</v>
      </c>
      <c r="O481" s="59">
        <f t="shared" si="157"/>
        <v>138.21</v>
      </c>
      <c r="P481" s="84">
        <f t="shared" si="158"/>
        <v>7417721.5</v>
      </c>
      <c r="Q481" s="65">
        <f t="shared" si="159"/>
        <v>3179013.961378136</v>
      </c>
      <c r="R481" s="65">
        <f t="shared" si="160"/>
        <v>2816506.770720562</v>
      </c>
      <c r="S481" s="65">
        <f t="shared" si="161"/>
        <v>1422200.7679013014</v>
      </c>
      <c r="T481" s="65">
        <v>0</v>
      </c>
    </row>
    <row r="482" spans="1:20" ht="31.5">
      <c r="A482" s="128">
        <f>A481+1</f>
        <v>6</v>
      </c>
      <c r="B482" s="57" t="s">
        <v>698</v>
      </c>
      <c r="C482" s="71">
        <v>24</v>
      </c>
      <c r="D482" s="72">
        <v>38035</v>
      </c>
      <c r="E482" s="130" t="s">
        <v>525</v>
      </c>
      <c r="F482" s="130" t="s">
        <v>525</v>
      </c>
      <c r="G482" s="58">
        <v>2</v>
      </c>
      <c r="H482" s="58">
        <v>2</v>
      </c>
      <c r="I482" s="59">
        <v>88.75</v>
      </c>
      <c r="J482" s="71">
        <v>2</v>
      </c>
      <c r="K482" s="71">
        <v>2</v>
      </c>
      <c r="L482" s="71">
        <v>0</v>
      </c>
      <c r="M482" s="59">
        <v>88.75</v>
      </c>
      <c r="N482" s="59">
        <v>88.75</v>
      </c>
      <c r="O482" s="59">
        <f t="shared" si="157"/>
        <v>0</v>
      </c>
      <c r="P482" s="84">
        <f t="shared" si="158"/>
        <v>3030812.5</v>
      </c>
      <c r="Q482" s="65">
        <f t="shared" si="159"/>
        <v>1298915.7454643415</v>
      </c>
      <c r="R482" s="65">
        <f t="shared" si="160"/>
        <v>1150798.6552251272</v>
      </c>
      <c r="S482" s="65">
        <f t="shared" si="161"/>
        <v>581098.0993105313</v>
      </c>
      <c r="T482" s="65">
        <v>0</v>
      </c>
    </row>
    <row r="483" spans="1:20" ht="15.75">
      <c r="A483" s="149" t="s">
        <v>615</v>
      </c>
      <c r="B483" s="149"/>
      <c r="C483" s="58"/>
      <c r="D483" s="58"/>
      <c r="E483" s="58"/>
      <c r="F483" s="58"/>
      <c r="G483" s="131">
        <f aca="true" t="shared" si="162" ref="G483:L483">SUM(G484:G495)</f>
        <v>134</v>
      </c>
      <c r="H483" s="131">
        <f t="shared" si="162"/>
        <v>134</v>
      </c>
      <c r="I483" s="59">
        <f t="shared" si="162"/>
        <v>2485.9999999999995</v>
      </c>
      <c r="J483" s="131">
        <f t="shared" si="162"/>
        <v>58</v>
      </c>
      <c r="K483" s="131">
        <f t="shared" si="162"/>
        <v>26</v>
      </c>
      <c r="L483" s="131">
        <f t="shared" si="162"/>
        <v>32</v>
      </c>
      <c r="M483" s="59">
        <f aca="true" t="shared" si="163" ref="M483:T483">SUM(M484:M495)</f>
        <v>2485.9999999999995</v>
      </c>
      <c r="N483" s="59">
        <f t="shared" si="163"/>
        <v>1195.1000000000001</v>
      </c>
      <c r="O483" s="59">
        <f t="shared" si="163"/>
        <v>1290.8999999999999</v>
      </c>
      <c r="P483" s="65">
        <f t="shared" si="163"/>
        <v>84896900</v>
      </c>
      <c r="Q483" s="65">
        <f t="shared" si="163"/>
        <v>25844999.999224704</v>
      </c>
      <c r="R483" s="65">
        <f t="shared" si="163"/>
        <v>12066199.999907415</v>
      </c>
      <c r="S483" s="65">
        <f t="shared" si="163"/>
        <v>46985700.00086788</v>
      </c>
      <c r="T483" s="65">
        <f t="shared" si="163"/>
        <v>0</v>
      </c>
    </row>
    <row r="484" spans="1:20" ht="47.25">
      <c r="A484" s="71">
        <v>7</v>
      </c>
      <c r="B484" s="36" t="s">
        <v>526</v>
      </c>
      <c r="C484" s="33">
        <v>8</v>
      </c>
      <c r="D484" s="130">
        <v>40526</v>
      </c>
      <c r="E484" s="130" t="s">
        <v>525</v>
      </c>
      <c r="F484" s="130" t="s">
        <v>525</v>
      </c>
      <c r="G484" s="71">
        <v>10</v>
      </c>
      <c r="H484" s="71">
        <v>10</v>
      </c>
      <c r="I484" s="73">
        <v>154.4</v>
      </c>
      <c r="J484" s="71">
        <f>K484+L484</f>
        <v>4</v>
      </c>
      <c r="K484" s="71">
        <v>3</v>
      </c>
      <c r="L484" s="71">
        <v>1</v>
      </c>
      <c r="M484" s="59">
        <f>N484+O484</f>
        <v>154.4</v>
      </c>
      <c r="N484" s="59">
        <v>116.4</v>
      </c>
      <c r="O484" s="73">
        <v>38</v>
      </c>
      <c r="P484" s="84">
        <f>M484*34150</f>
        <v>5272760</v>
      </c>
      <c r="Q484" s="65">
        <f>P484*0.30442807687</f>
        <v>1605176.1865970613</v>
      </c>
      <c r="R484" s="65">
        <f>P484*0.14212768664</f>
        <v>749405.1810079264</v>
      </c>
      <c r="S484" s="65">
        <f>P484-Q484-R484</f>
        <v>2918178.6323950123</v>
      </c>
      <c r="T484" s="65">
        <v>0</v>
      </c>
    </row>
    <row r="485" spans="1:20" ht="47.25">
      <c r="A485" s="71">
        <f>A484+1</f>
        <v>8</v>
      </c>
      <c r="B485" s="36" t="s">
        <v>0</v>
      </c>
      <c r="C485" s="33">
        <v>18</v>
      </c>
      <c r="D485" s="130">
        <v>39766</v>
      </c>
      <c r="E485" s="130" t="s">
        <v>525</v>
      </c>
      <c r="F485" s="130" t="s">
        <v>525</v>
      </c>
      <c r="G485" s="71">
        <v>16</v>
      </c>
      <c r="H485" s="71">
        <v>16</v>
      </c>
      <c r="I485" s="73">
        <v>360.4</v>
      </c>
      <c r="J485" s="71">
        <f aca="true" t="shared" si="164" ref="J485:J495">K485+L485</f>
        <v>8</v>
      </c>
      <c r="K485" s="71">
        <v>0</v>
      </c>
      <c r="L485" s="71">
        <v>8</v>
      </c>
      <c r="M485" s="59">
        <f aca="true" t="shared" si="165" ref="M485:M495">N485+O485</f>
        <v>360.4</v>
      </c>
      <c r="N485" s="59">
        <v>0</v>
      </c>
      <c r="O485" s="73">
        <v>360.4</v>
      </c>
      <c r="P485" s="84">
        <f aca="true" t="shared" si="166" ref="P485:P495">M485*34150</f>
        <v>12307660</v>
      </c>
      <c r="Q485" s="65">
        <f aca="true" t="shared" si="167" ref="Q485:Q495">P485*0.30442807687</f>
        <v>3746797.264569824</v>
      </c>
      <c r="R485" s="65">
        <f aca="true" t="shared" si="168" ref="R485:R495">P485*0.14212768664</f>
        <v>1749259.2437516623</v>
      </c>
      <c r="S485" s="65">
        <f aca="true" t="shared" si="169" ref="S485:S495">P485-Q485-R485</f>
        <v>6811603.491678514</v>
      </c>
      <c r="T485" s="65">
        <v>0</v>
      </c>
    </row>
    <row r="486" spans="1:20" ht="31.5">
      <c r="A486" s="71">
        <f aca="true" t="shared" si="170" ref="A486:A495">A485+1</f>
        <v>9</v>
      </c>
      <c r="B486" s="36" t="s">
        <v>1</v>
      </c>
      <c r="C486" s="33">
        <v>12</v>
      </c>
      <c r="D486" s="130">
        <v>40526</v>
      </c>
      <c r="E486" s="130" t="s">
        <v>525</v>
      </c>
      <c r="F486" s="130" t="s">
        <v>525</v>
      </c>
      <c r="G486" s="71">
        <v>19</v>
      </c>
      <c r="H486" s="71">
        <v>19</v>
      </c>
      <c r="I486" s="73">
        <v>363.8</v>
      </c>
      <c r="J486" s="71">
        <f t="shared" si="164"/>
        <v>8</v>
      </c>
      <c r="K486" s="71">
        <v>6</v>
      </c>
      <c r="L486" s="71">
        <v>2</v>
      </c>
      <c r="M486" s="59">
        <f t="shared" si="165"/>
        <v>363.8</v>
      </c>
      <c r="N486" s="59">
        <v>266</v>
      </c>
      <c r="O486" s="73">
        <v>97.8</v>
      </c>
      <c r="P486" s="84">
        <f t="shared" si="166"/>
        <v>12423770</v>
      </c>
      <c r="Q486" s="65">
        <f t="shared" si="167"/>
        <v>3782144.4085752</v>
      </c>
      <c r="R486" s="65">
        <f t="shared" si="168"/>
        <v>1765761.6894474328</v>
      </c>
      <c r="S486" s="65">
        <f t="shared" si="169"/>
        <v>6875863.901977368</v>
      </c>
      <c r="T486" s="65">
        <v>0</v>
      </c>
    </row>
    <row r="487" spans="1:20" ht="31.5">
      <c r="A487" s="71">
        <f t="shared" si="170"/>
        <v>10</v>
      </c>
      <c r="B487" s="36" t="s">
        <v>2</v>
      </c>
      <c r="C487" s="33">
        <v>37</v>
      </c>
      <c r="D487" s="130">
        <v>39799</v>
      </c>
      <c r="E487" s="130" t="s">
        <v>525</v>
      </c>
      <c r="F487" s="130" t="s">
        <v>525</v>
      </c>
      <c r="G487" s="71">
        <v>5</v>
      </c>
      <c r="H487" s="71">
        <v>5</v>
      </c>
      <c r="I487" s="73">
        <v>78.3</v>
      </c>
      <c r="J487" s="71">
        <f t="shared" si="164"/>
        <v>2</v>
      </c>
      <c r="K487" s="71">
        <v>1</v>
      </c>
      <c r="L487" s="71">
        <v>1</v>
      </c>
      <c r="M487" s="59">
        <f t="shared" si="165"/>
        <v>78.30000000000001</v>
      </c>
      <c r="N487" s="59">
        <v>43.6</v>
      </c>
      <c r="O487" s="73">
        <v>34.7</v>
      </c>
      <c r="P487" s="84">
        <f t="shared" si="166"/>
        <v>2673945.0000000005</v>
      </c>
      <c r="Q487" s="65">
        <f t="shared" si="167"/>
        <v>814023.9340061523</v>
      </c>
      <c r="R487" s="65">
        <f t="shared" si="168"/>
        <v>380041.61705259484</v>
      </c>
      <c r="S487" s="65">
        <f t="shared" si="169"/>
        <v>1479879.4489412534</v>
      </c>
      <c r="T487" s="65">
        <v>0</v>
      </c>
    </row>
    <row r="488" spans="1:20" ht="31.5">
      <c r="A488" s="71">
        <f t="shared" si="170"/>
        <v>11</v>
      </c>
      <c r="B488" s="36" t="s">
        <v>3</v>
      </c>
      <c r="C488" s="33">
        <v>38</v>
      </c>
      <c r="D488" s="130">
        <v>39799</v>
      </c>
      <c r="E488" s="130" t="s">
        <v>525</v>
      </c>
      <c r="F488" s="130" t="s">
        <v>525</v>
      </c>
      <c r="G488" s="71">
        <v>4</v>
      </c>
      <c r="H488" s="71">
        <v>4</v>
      </c>
      <c r="I488" s="73">
        <v>105.4</v>
      </c>
      <c r="J488" s="71">
        <f t="shared" si="164"/>
        <v>2</v>
      </c>
      <c r="K488" s="71">
        <v>0</v>
      </c>
      <c r="L488" s="71">
        <v>2</v>
      </c>
      <c r="M488" s="59">
        <f t="shared" si="165"/>
        <v>105.4</v>
      </c>
      <c r="N488" s="59">
        <v>0</v>
      </c>
      <c r="O488" s="73">
        <v>105.4</v>
      </c>
      <c r="P488" s="84">
        <f t="shared" si="166"/>
        <v>3599410</v>
      </c>
      <c r="Q488" s="65">
        <f t="shared" si="167"/>
        <v>1095761.4641666468</v>
      </c>
      <c r="R488" s="65">
        <f t="shared" si="168"/>
        <v>511575.8165688824</v>
      </c>
      <c r="S488" s="65">
        <f t="shared" si="169"/>
        <v>1992072.7192644707</v>
      </c>
      <c r="T488" s="65">
        <v>0</v>
      </c>
    </row>
    <row r="489" spans="1:20" ht="31.5">
      <c r="A489" s="71">
        <f t="shared" si="170"/>
        <v>12</v>
      </c>
      <c r="B489" s="36" t="s">
        <v>4</v>
      </c>
      <c r="C489" s="33">
        <v>39</v>
      </c>
      <c r="D489" s="130">
        <v>39799</v>
      </c>
      <c r="E489" s="130" t="s">
        <v>525</v>
      </c>
      <c r="F489" s="130" t="s">
        <v>525</v>
      </c>
      <c r="G489" s="71">
        <v>13</v>
      </c>
      <c r="H489" s="71">
        <v>13</v>
      </c>
      <c r="I489" s="73">
        <v>196.7</v>
      </c>
      <c r="J489" s="71">
        <f t="shared" si="164"/>
        <v>5</v>
      </c>
      <c r="K489" s="71">
        <v>2</v>
      </c>
      <c r="L489" s="71">
        <v>3</v>
      </c>
      <c r="M489" s="59">
        <f t="shared" si="165"/>
        <v>196.7</v>
      </c>
      <c r="N489" s="59">
        <v>48.7</v>
      </c>
      <c r="O489" s="73">
        <v>148</v>
      </c>
      <c r="P489" s="84">
        <f t="shared" si="166"/>
        <v>6717305</v>
      </c>
      <c r="Q489" s="65">
        <f t="shared" si="167"/>
        <v>2044936.2428992353</v>
      </c>
      <c r="R489" s="65">
        <f t="shared" si="168"/>
        <v>954715.0201053052</v>
      </c>
      <c r="S489" s="65">
        <f t="shared" si="169"/>
        <v>3717653.7369954595</v>
      </c>
      <c r="T489" s="65">
        <v>0</v>
      </c>
    </row>
    <row r="490" spans="1:20" ht="31.5">
      <c r="A490" s="71">
        <f t="shared" si="170"/>
        <v>13</v>
      </c>
      <c r="B490" s="36" t="s">
        <v>5</v>
      </c>
      <c r="C490" s="33">
        <v>11</v>
      </c>
      <c r="D490" s="130">
        <v>40526</v>
      </c>
      <c r="E490" s="130" t="s">
        <v>525</v>
      </c>
      <c r="F490" s="130" t="s">
        <v>525</v>
      </c>
      <c r="G490" s="71">
        <v>19</v>
      </c>
      <c r="H490" s="71">
        <v>19</v>
      </c>
      <c r="I490" s="73">
        <v>698.8</v>
      </c>
      <c r="J490" s="71">
        <f t="shared" si="164"/>
        <v>12</v>
      </c>
      <c r="K490" s="71">
        <v>10</v>
      </c>
      <c r="L490" s="71">
        <v>2</v>
      </c>
      <c r="M490" s="59">
        <f t="shared" si="165"/>
        <v>698.8</v>
      </c>
      <c r="N490" s="59">
        <v>579.5</v>
      </c>
      <c r="O490" s="73">
        <v>119.3</v>
      </c>
      <c r="P490" s="84">
        <f t="shared" si="166"/>
        <v>23864020</v>
      </c>
      <c r="Q490" s="65">
        <f t="shared" si="167"/>
        <v>7264877.714987217</v>
      </c>
      <c r="R490" s="65">
        <f t="shared" si="168"/>
        <v>3391737.956530693</v>
      </c>
      <c r="S490" s="65">
        <f t="shared" si="169"/>
        <v>13207404.328482088</v>
      </c>
      <c r="T490" s="65">
        <v>0</v>
      </c>
    </row>
    <row r="491" spans="1:20" ht="47.25">
      <c r="A491" s="71">
        <f t="shared" si="170"/>
        <v>14</v>
      </c>
      <c r="B491" s="36" t="s">
        <v>6</v>
      </c>
      <c r="C491" s="33">
        <v>20</v>
      </c>
      <c r="D491" s="130">
        <v>39766</v>
      </c>
      <c r="E491" s="130" t="s">
        <v>525</v>
      </c>
      <c r="F491" s="130" t="s">
        <v>525</v>
      </c>
      <c r="G491" s="71">
        <v>8</v>
      </c>
      <c r="H491" s="71">
        <v>8</v>
      </c>
      <c r="I491" s="73">
        <v>64.1</v>
      </c>
      <c r="J491" s="71">
        <f t="shared" si="164"/>
        <v>2</v>
      </c>
      <c r="K491" s="71">
        <v>1</v>
      </c>
      <c r="L491" s="71">
        <v>1</v>
      </c>
      <c r="M491" s="59">
        <f t="shared" si="165"/>
        <v>64.1</v>
      </c>
      <c r="N491" s="59">
        <v>33.7</v>
      </c>
      <c r="O491" s="73">
        <v>30.4</v>
      </c>
      <c r="P491" s="84">
        <f t="shared" si="166"/>
        <v>2189015</v>
      </c>
      <c r="Q491" s="65">
        <f t="shared" si="167"/>
        <v>666397.6266895831</v>
      </c>
      <c r="R491" s="65">
        <f t="shared" si="168"/>
        <v>311119.6379702596</v>
      </c>
      <c r="S491" s="65">
        <f t="shared" si="169"/>
        <v>1211497.7353401573</v>
      </c>
      <c r="T491" s="65">
        <v>0</v>
      </c>
    </row>
    <row r="492" spans="1:20" ht="47.25">
      <c r="A492" s="71">
        <f t="shared" si="170"/>
        <v>15</v>
      </c>
      <c r="B492" s="36" t="s">
        <v>7</v>
      </c>
      <c r="C492" s="33">
        <v>13</v>
      </c>
      <c r="D492" s="130">
        <v>40526</v>
      </c>
      <c r="E492" s="130" t="s">
        <v>525</v>
      </c>
      <c r="F492" s="130" t="s">
        <v>525</v>
      </c>
      <c r="G492" s="71">
        <v>13</v>
      </c>
      <c r="H492" s="71">
        <v>13</v>
      </c>
      <c r="I492" s="73">
        <v>134.6</v>
      </c>
      <c r="J492" s="71">
        <f t="shared" si="164"/>
        <v>5</v>
      </c>
      <c r="K492" s="71">
        <v>0</v>
      </c>
      <c r="L492" s="71">
        <v>5</v>
      </c>
      <c r="M492" s="59">
        <f t="shared" si="165"/>
        <v>134.6</v>
      </c>
      <c r="N492" s="59">
        <v>0</v>
      </c>
      <c r="O492" s="73">
        <v>134.6</v>
      </c>
      <c r="P492" s="84">
        <f t="shared" si="166"/>
        <v>4596590</v>
      </c>
      <c r="Q492" s="65">
        <f t="shared" si="167"/>
        <v>1399331.0538598734</v>
      </c>
      <c r="R492" s="65">
        <f t="shared" si="168"/>
        <v>653302.7031325576</v>
      </c>
      <c r="S492" s="65">
        <f t="shared" si="169"/>
        <v>2543956.2430075686</v>
      </c>
      <c r="T492" s="65">
        <v>0</v>
      </c>
    </row>
    <row r="493" spans="1:20" ht="47.25">
      <c r="A493" s="71">
        <f t="shared" si="170"/>
        <v>16</v>
      </c>
      <c r="B493" s="36" t="s">
        <v>8</v>
      </c>
      <c r="C493" s="33">
        <v>4</v>
      </c>
      <c r="D493" s="130">
        <v>40526</v>
      </c>
      <c r="E493" s="130" t="s">
        <v>525</v>
      </c>
      <c r="F493" s="130" t="s">
        <v>525</v>
      </c>
      <c r="G493" s="71">
        <v>10</v>
      </c>
      <c r="H493" s="71">
        <v>10</v>
      </c>
      <c r="I493" s="73">
        <v>142.7</v>
      </c>
      <c r="J493" s="71">
        <f t="shared" si="164"/>
        <v>4</v>
      </c>
      <c r="K493" s="71">
        <v>3</v>
      </c>
      <c r="L493" s="71">
        <v>1</v>
      </c>
      <c r="M493" s="59">
        <f t="shared" si="165"/>
        <v>142.7</v>
      </c>
      <c r="N493" s="59">
        <v>107.2</v>
      </c>
      <c r="O493" s="73">
        <v>35.5</v>
      </c>
      <c r="P493" s="84">
        <f t="shared" si="166"/>
        <v>4873205</v>
      </c>
      <c r="Q493" s="65">
        <f t="shared" si="167"/>
        <v>1483540.4263432685</v>
      </c>
      <c r="R493" s="65">
        <f t="shared" si="168"/>
        <v>692617.3531724812</v>
      </c>
      <c r="S493" s="65">
        <f t="shared" si="169"/>
        <v>2697047.22048425</v>
      </c>
      <c r="T493" s="65">
        <v>0</v>
      </c>
    </row>
    <row r="494" spans="1:20" ht="47.25">
      <c r="A494" s="71">
        <f t="shared" si="170"/>
        <v>17</v>
      </c>
      <c r="B494" s="36" t="s">
        <v>9</v>
      </c>
      <c r="C494" s="33">
        <v>21</v>
      </c>
      <c r="D494" s="130">
        <v>39766</v>
      </c>
      <c r="E494" s="130" t="s">
        <v>525</v>
      </c>
      <c r="F494" s="130" t="s">
        <v>525</v>
      </c>
      <c r="G494" s="71">
        <v>11</v>
      </c>
      <c r="H494" s="71">
        <v>11</v>
      </c>
      <c r="I494" s="73">
        <v>99.7</v>
      </c>
      <c r="J494" s="71">
        <f t="shared" si="164"/>
        <v>3</v>
      </c>
      <c r="K494" s="71">
        <v>0</v>
      </c>
      <c r="L494" s="71">
        <v>3</v>
      </c>
      <c r="M494" s="59">
        <f t="shared" si="165"/>
        <v>99.7</v>
      </c>
      <c r="N494" s="59">
        <v>0</v>
      </c>
      <c r="O494" s="73">
        <v>99.7</v>
      </c>
      <c r="P494" s="84">
        <f t="shared" si="166"/>
        <v>3404755</v>
      </c>
      <c r="Q494" s="65">
        <f t="shared" si="167"/>
        <v>1036503.0168635169</v>
      </c>
      <c r="R494" s="65">
        <f t="shared" si="168"/>
        <v>483909.9517259732</v>
      </c>
      <c r="S494" s="65">
        <f t="shared" si="169"/>
        <v>1884342.0314105097</v>
      </c>
      <c r="T494" s="65">
        <v>0</v>
      </c>
    </row>
    <row r="495" spans="1:20" ht="47.25">
      <c r="A495" s="71">
        <f t="shared" si="170"/>
        <v>18</v>
      </c>
      <c r="B495" s="36" t="s">
        <v>10</v>
      </c>
      <c r="C495" s="33">
        <v>22</v>
      </c>
      <c r="D495" s="130">
        <v>39766</v>
      </c>
      <c r="E495" s="130" t="s">
        <v>525</v>
      </c>
      <c r="F495" s="130" t="s">
        <v>525</v>
      </c>
      <c r="G495" s="71">
        <v>6</v>
      </c>
      <c r="H495" s="71">
        <v>6</v>
      </c>
      <c r="I495" s="73">
        <v>87.1</v>
      </c>
      <c r="J495" s="71">
        <f t="shared" si="164"/>
        <v>3</v>
      </c>
      <c r="K495" s="71">
        <v>0</v>
      </c>
      <c r="L495" s="71">
        <v>3</v>
      </c>
      <c r="M495" s="59">
        <f t="shared" si="165"/>
        <v>87.1</v>
      </c>
      <c r="N495" s="73">
        <v>0</v>
      </c>
      <c r="O495" s="73">
        <v>87.1</v>
      </c>
      <c r="P495" s="84">
        <f t="shared" si="166"/>
        <v>2974465</v>
      </c>
      <c r="Q495" s="65">
        <f t="shared" si="167"/>
        <v>905510.6596671246</v>
      </c>
      <c r="R495" s="65">
        <f t="shared" si="168"/>
        <v>422753.8294416476</v>
      </c>
      <c r="S495" s="65">
        <f t="shared" si="169"/>
        <v>1646200.510891228</v>
      </c>
      <c r="T495" s="65">
        <v>0</v>
      </c>
    </row>
    <row r="496" spans="1:20" ht="15.75">
      <c r="A496" s="149" t="s">
        <v>297</v>
      </c>
      <c r="B496" s="149"/>
      <c r="C496" s="58"/>
      <c r="D496" s="58"/>
      <c r="E496" s="58"/>
      <c r="F496" s="58"/>
      <c r="G496" s="58">
        <f>G497+G498+G499+G500+G501</f>
        <v>40</v>
      </c>
      <c r="H496" s="58">
        <f aca="true" t="shared" si="171" ref="H496:O496">H497+H498+H499+H500+H501</f>
        <v>40</v>
      </c>
      <c r="I496" s="59">
        <f t="shared" si="171"/>
        <v>501.3</v>
      </c>
      <c r="J496" s="58">
        <f t="shared" si="171"/>
        <v>15</v>
      </c>
      <c r="K496" s="58">
        <f t="shared" si="171"/>
        <v>8</v>
      </c>
      <c r="L496" s="58">
        <f t="shared" si="171"/>
        <v>7</v>
      </c>
      <c r="M496" s="59">
        <f t="shared" si="171"/>
        <v>501.3</v>
      </c>
      <c r="N496" s="59">
        <f t="shared" si="171"/>
        <v>285.3</v>
      </c>
      <c r="O496" s="59">
        <f t="shared" si="171"/>
        <v>216</v>
      </c>
      <c r="P496" s="58">
        <f>P497+P498+P499+P500+P501</f>
        <v>17119395</v>
      </c>
      <c r="Q496" s="58">
        <f>Q497+Q498+Q499+Q500+Q501</f>
        <v>8169499.9998904895</v>
      </c>
      <c r="R496" s="58">
        <f>R497+R498+R499+R500+R501</f>
        <v>7237999.999922485</v>
      </c>
      <c r="S496" s="58">
        <f>S497+S498+S499+S500+S501</f>
        <v>1711895.000187025</v>
      </c>
      <c r="T496" s="58">
        <f>T497+T498+T499+T500+T501</f>
        <v>252710</v>
      </c>
    </row>
    <row r="497" spans="1:20" ht="31.5">
      <c r="A497" s="140">
        <v>19</v>
      </c>
      <c r="B497" s="39" t="s">
        <v>11</v>
      </c>
      <c r="C497" s="58">
        <v>43</v>
      </c>
      <c r="D497" s="72">
        <v>39875</v>
      </c>
      <c r="E497" s="130" t="s">
        <v>525</v>
      </c>
      <c r="F497" s="130" t="s">
        <v>525</v>
      </c>
      <c r="G497" s="58">
        <v>2</v>
      </c>
      <c r="H497" s="58">
        <v>2</v>
      </c>
      <c r="I497" s="82">
        <v>105.1</v>
      </c>
      <c r="J497" s="71">
        <v>2</v>
      </c>
      <c r="K497" s="71">
        <v>0</v>
      </c>
      <c r="L497" s="71">
        <v>2</v>
      </c>
      <c r="M497" s="82">
        <v>105.1</v>
      </c>
      <c r="N497" s="59">
        <v>0</v>
      </c>
      <c r="O497" s="73">
        <v>105.1</v>
      </c>
      <c r="P497" s="65">
        <f>M497*34150</f>
        <v>3589165</v>
      </c>
      <c r="Q497" s="65">
        <f>P497*0.47720728448</f>
        <v>1712775.6832006592</v>
      </c>
      <c r="R497" s="65">
        <f>P497*0.4227953149</f>
        <v>1517482.1464030584</v>
      </c>
      <c r="S497" s="65">
        <f>P497-Q497-R497</f>
        <v>358907.17039628234</v>
      </c>
      <c r="T497" s="65">
        <v>0</v>
      </c>
    </row>
    <row r="498" spans="1:20" ht="31.5">
      <c r="A498" s="140">
        <f>A497+1</f>
        <v>20</v>
      </c>
      <c r="B498" s="39" t="s">
        <v>12</v>
      </c>
      <c r="C498" s="58">
        <v>44</v>
      </c>
      <c r="D498" s="72">
        <v>39875</v>
      </c>
      <c r="E498" s="130" t="s">
        <v>525</v>
      </c>
      <c r="F498" s="130" t="s">
        <v>525</v>
      </c>
      <c r="G498" s="58">
        <v>8</v>
      </c>
      <c r="H498" s="58">
        <v>8</v>
      </c>
      <c r="I498" s="82">
        <v>53.1</v>
      </c>
      <c r="J498" s="71">
        <v>3</v>
      </c>
      <c r="K498" s="71">
        <v>0</v>
      </c>
      <c r="L498" s="71">
        <v>3</v>
      </c>
      <c r="M498" s="82">
        <v>53.1</v>
      </c>
      <c r="N498" s="59">
        <v>0</v>
      </c>
      <c r="O498" s="73">
        <v>53.1</v>
      </c>
      <c r="P498" s="65">
        <f>M498*34150</f>
        <v>1813365</v>
      </c>
      <c r="Q498" s="65">
        <f>P498*0.47720728448</f>
        <v>865350.9874210752</v>
      </c>
      <c r="R498" s="65">
        <f>P498*0.4227953149</f>
        <v>766682.2262036385</v>
      </c>
      <c r="S498" s="65">
        <f>P498-Q498-R498</f>
        <v>181331.7863752863</v>
      </c>
      <c r="T498" s="65">
        <v>0</v>
      </c>
    </row>
    <row r="499" spans="1:20" ht="31.5">
      <c r="A499" s="140">
        <f>A498+1</f>
        <v>21</v>
      </c>
      <c r="B499" s="39" t="s">
        <v>13</v>
      </c>
      <c r="C499" s="58">
        <v>49</v>
      </c>
      <c r="D499" s="72">
        <v>39926</v>
      </c>
      <c r="E499" s="130" t="s">
        <v>525</v>
      </c>
      <c r="F499" s="130" t="s">
        <v>525</v>
      </c>
      <c r="G499" s="58">
        <v>3</v>
      </c>
      <c r="H499" s="58">
        <v>3</v>
      </c>
      <c r="I499" s="82">
        <v>65</v>
      </c>
      <c r="J499" s="71">
        <v>2</v>
      </c>
      <c r="K499" s="71">
        <v>2</v>
      </c>
      <c r="L499" s="71">
        <v>0</v>
      </c>
      <c r="M499" s="82">
        <v>65</v>
      </c>
      <c r="N499" s="59">
        <v>65</v>
      </c>
      <c r="O499" s="73">
        <v>0</v>
      </c>
      <c r="P499" s="65">
        <f>M499*34150</f>
        <v>2219750</v>
      </c>
      <c r="Q499" s="65">
        <f>P499*0.47720728448</f>
        <v>1059280.86972448</v>
      </c>
      <c r="R499" s="65">
        <f>P499*0.4227953149</f>
        <v>938499.900249275</v>
      </c>
      <c r="S499" s="65">
        <f>P499-Q499-R499</f>
        <v>221969.230026245</v>
      </c>
      <c r="T499" s="65">
        <v>252710</v>
      </c>
    </row>
    <row r="500" spans="1:20" ht="31.5">
      <c r="A500" s="140">
        <f>A499+1</f>
        <v>22</v>
      </c>
      <c r="B500" s="39" t="s">
        <v>14</v>
      </c>
      <c r="C500" s="74">
        <v>78</v>
      </c>
      <c r="D500" s="72">
        <v>40351</v>
      </c>
      <c r="E500" s="130" t="s">
        <v>525</v>
      </c>
      <c r="F500" s="130" t="s">
        <v>525</v>
      </c>
      <c r="G500" s="58">
        <v>11</v>
      </c>
      <c r="H500" s="58">
        <v>11</v>
      </c>
      <c r="I500" s="73">
        <v>154.9</v>
      </c>
      <c r="J500" s="71">
        <v>4</v>
      </c>
      <c r="K500" s="71">
        <v>4</v>
      </c>
      <c r="L500" s="71">
        <v>0</v>
      </c>
      <c r="M500" s="73">
        <v>154.9</v>
      </c>
      <c r="N500" s="59">
        <v>154.9</v>
      </c>
      <c r="O500" s="73">
        <v>0</v>
      </c>
      <c r="P500" s="65">
        <f>M500*34150</f>
        <v>5289835</v>
      </c>
      <c r="Q500" s="65">
        <f>P500*0.47720728448</f>
        <v>2524347.7956972606</v>
      </c>
      <c r="R500" s="65">
        <f>P500*0.4227953149</f>
        <v>2236517.4545940417</v>
      </c>
      <c r="S500" s="65">
        <f>P500-Q500-R500</f>
        <v>528969.7497086977</v>
      </c>
      <c r="T500" s="65">
        <v>0</v>
      </c>
    </row>
    <row r="501" spans="1:20" ht="31.5">
      <c r="A501" s="140">
        <f>A500+1</f>
        <v>23</v>
      </c>
      <c r="B501" s="39" t="s">
        <v>15</v>
      </c>
      <c r="C501" s="74">
        <v>94</v>
      </c>
      <c r="D501" s="72">
        <v>40750</v>
      </c>
      <c r="E501" s="130" t="s">
        <v>525</v>
      </c>
      <c r="F501" s="130" t="s">
        <v>525</v>
      </c>
      <c r="G501" s="58">
        <v>16</v>
      </c>
      <c r="H501" s="58">
        <v>16</v>
      </c>
      <c r="I501" s="82">
        <v>123.2</v>
      </c>
      <c r="J501" s="71">
        <v>4</v>
      </c>
      <c r="K501" s="71">
        <v>2</v>
      </c>
      <c r="L501" s="71">
        <v>2</v>
      </c>
      <c r="M501" s="82">
        <v>123.2</v>
      </c>
      <c r="N501" s="59">
        <v>65.4</v>
      </c>
      <c r="O501" s="73">
        <v>57.8</v>
      </c>
      <c r="P501" s="65">
        <f>M501*34150</f>
        <v>4207280</v>
      </c>
      <c r="Q501" s="65">
        <f>P501*0.47720728448</f>
        <v>2007744.6638470143</v>
      </c>
      <c r="R501" s="65">
        <f>P501*0.4227953149</f>
        <v>1778818.272472472</v>
      </c>
      <c r="S501" s="65">
        <f>P501-Q501-R501</f>
        <v>420717.06368051376</v>
      </c>
      <c r="T501" s="65">
        <v>0</v>
      </c>
    </row>
    <row r="502" spans="1:20" ht="15.75">
      <c r="A502" s="155" t="s">
        <v>16</v>
      </c>
      <c r="B502" s="155"/>
      <c r="C502" s="71"/>
      <c r="D502" s="71"/>
      <c r="E502" s="71"/>
      <c r="F502" s="71"/>
      <c r="G502" s="33">
        <f>SUM(G503:G526)</f>
        <v>165</v>
      </c>
      <c r="H502" s="33">
        <f aca="true" t="shared" si="172" ref="H502:O502">SUM(H503:H526)</f>
        <v>165</v>
      </c>
      <c r="I502" s="85">
        <f t="shared" si="172"/>
        <v>2863.54</v>
      </c>
      <c r="J502" s="33">
        <f t="shared" si="172"/>
        <v>77</v>
      </c>
      <c r="K502" s="33">
        <f t="shared" si="172"/>
        <v>57</v>
      </c>
      <c r="L502" s="33">
        <f t="shared" si="172"/>
        <v>20</v>
      </c>
      <c r="M502" s="85">
        <f t="shared" si="172"/>
        <v>2863.54</v>
      </c>
      <c r="N502" s="85">
        <f t="shared" si="172"/>
        <v>2215.84</v>
      </c>
      <c r="O502" s="85">
        <f t="shared" si="172"/>
        <v>647.7</v>
      </c>
      <c r="P502" s="84">
        <f>SUM(P503:P526)</f>
        <v>97789891</v>
      </c>
      <c r="Q502" s="84">
        <f>SUM(Q503:Q526)</f>
        <v>46653500.202246174</v>
      </c>
      <c r="R502" s="84">
        <f>SUM(R503:R526)</f>
        <v>41333699.61568548</v>
      </c>
      <c r="S502" s="84">
        <f>SUM(S503:S526)</f>
        <v>9802691.182068346</v>
      </c>
      <c r="T502" s="84">
        <f>SUM(T503:T526)</f>
        <v>0</v>
      </c>
    </row>
    <row r="503" spans="1:20" ht="31.5">
      <c r="A503" s="118">
        <v>24</v>
      </c>
      <c r="B503" s="57" t="s">
        <v>677</v>
      </c>
      <c r="C503" s="71">
        <v>172</v>
      </c>
      <c r="D503" s="130">
        <v>38217</v>
      </c>
      <c r="E503" s="130" t="s">
        <v>525</v>
      </c>
      <c r="F503" s="130" t="s">
        <v>525</v>
      </c>
      <c r="G503" s="33">
        <v>5</v>
      </c>
      <c r="H503" s="33">
        <v>5</v>
      </c>
      <c r="I503" s="85">
        <v>105.2</v>
      </c>
      <c r="J503" s="33">
        <v>4</v>
      </c>
      <c r="K503" s="135">
        <v>4</v>
      </c>
      <c r="L503" s="84">
        <v>0</v>
      </c>
      <c r="M503" s="85">
        <v>105.2</v>
      </c>
      <c r="N503" s="85">
        <v>105.2</v>
      </c>
      <c r="O503" s="85">
        <v>0</v>
      </c>
      <c r="P503" s="81">
        <f aca="true" t="shared" si="173" ref="P503:P526">M503*34150</f>
        <v>3592580</v>
      </c>
      <c r="Q503" s="84">
        <f>(46653500/2863.54*M503)</f>
        <v>1713944.348603477</v>
      </c>
      <c r="R503" s="84">
        <f>(41333700/2863.54*M503)</f>
        <v>1518506.8970574883</v>
      </c>
      <c r="S503" s="84">
        <f>(9802691/2863.54*M503)</f>
        <v>360128.7543390349</v>
      </c>
      <c r="T503" s="84">
        <v>0</v>
      </c>
    </row>
    <row r="504" spans="1:20" ht="31.5">
      <c r="A504" s="118">
        <f>A503+1</f>
        <v>25</v>
      </c>
      <c r="B504" s="57" t="s">
        <v>678</v>
      </c>
      <c r="C504" s="71">
        <v>173</v>
      </c>
      <c r="D504" s="130">
        <v>38217</v>
      </c>
      <c r="E504" s="130" t="s">
        <v>525</v>
      </c>
      <c r="F504" s="130" t="s">
        <v>525</v>
      </c>
      <c r="G504" s="33">
        <v>4</v>
      </c>
      <c r="H504" s="33">
        <v>4</v>
      </c>
      <c r="I504" s="85">
        <v>82.6</v>
      </c>
      <c r="J504" s="33">
        <v>2</v>
      </c>
      <c r="K504" s="135">
        <v>2</v>
      </c>
      <c r="L504" s="84">
        <v>0</v>
      </c>
      <c r="M504" s="85">
        <v>82.6</v>
      </c>
      <c r="N504" s="85">
        <v>82.6</v>
      </c>
      <c r="O504" s="85">
        <v>0</v>
      </c>
      <c r="P504" s="81">
        <f t="shared" si="173"/>
        <v>2820790</v>
      </c>
      <c r="Q504" s="84">
        <f aca="true" t="shared" si="174" ref="Q504:Q526">(46653500/2863.54*M504)</f>
        <v>1345739.5740936045</v>
      </c>
      <c r="R504" s="84">
        <f aca="true" t="shared" si="175" ref="R504:R526">(41333700/2863.54*M504)</f>
        <v>1192287.7347618681</v>
      </c>
      <c r="S504" s="84">
        <f aca="true" t="shared" si="176" ref="S504:S526">(9802691/2863.54*M504)</f>
        <v>282762.6911445274</v>
      </c>
      <c r="T504" s="84">
        <v>0</v>
      </c>
    </row>
    <row r="505" spans="1:20" ht="31.5">
      <c r="A505" s="118">
        <f aca="true" t="shared" si="177" ref="A505:A526">A504+1</f>
        <v>26</v>
      </c>
      <c r="B505" s="57" t="s">
        <v>679</v>
      </c>
      <c r="C505" s="71">
        <v>176</v>
      </c>
      <c r="D505" s="130">
        <v>38217</v>
      </c>
      <c r="E505" s="130" t="s">
        <v>525</v>
      </c>
      <c r="F505" s="130" t="s">
        <v>525</v>
      </c>
      <c r="G505" s="33">
        <v>2</v>
      </c>
      <c r="H505" s="33">
        <v>2</v>
      </c>
      <c r="I505" s="85">
        <v>52.9</v>
      </c>
      <c r="J505" s="33">
        <v>2</v>
      </c>
      <c r="K505" s="135">
        <v>2</v>
      </c>
      <c r="L505" s="84">
        <v>0</v>
      </c>
      <c r="M505" s="85">
        <v>52.9</v>
      </c>
      <c r="N505" s="85">
        <v>52.9</v>
      </c>
      <c r="O505" s="85">
        <v>0</v>
      </c>
      <c r="P505" s="81">
        <f t="shared" si="173"/>
        <v>1806535</v>
      </c>
      <c r="Q505" s="84">
        <f t="shared" si="174"/>
        <v>861859.8482996571</v>
      </c>
      <c r="R505" s="84">
        <f t="shared" si="175"/>
        <v>763583.7913910754</v>
      </c>
      <c r="S505" s="84">
        <f t="shared" si="176"/>
        <v>181091.36030926756</v>
      </c>
      <c r="T505" s="84">
        <v>0</v>
      </c>
    </row>
    <row r="506" spans="1:20" ht="31.5">
      <c r="A506" s="118">
        <f t="shared" si="177"/>
        <v>27</v>
      </c>
      <c r="B506" s="57" t="s">
        <v>657</v>
      </c>
      <c r="C506" s="71">
        <v>178</v>
      </c>
      <c r="D506" s="130">
        <v>38217</v>
      </c>
      <c r="E506" s="130" t="s">
        <v>525</v>
      </c>
      <c r="F506" s="130" t="s">
        <v>525</v>
      </c>
      <c r="G506" s="33">
        <v>9</v>
      </c>
      <c r="H506" s="33">
        <v>9</v>
      </c>
      <c r="I506" s="85">
        <v>78.3</v>
      </c>
      <c r="J506" s="33">
        <v>2</v>
      </c>
      <c r="K506" s="135">
        <v>2</v>
      </c>
      <c r="L506" s="84">
        <v>0</v>
      </c>
      <c r="M506" s="85">
        <v>78.3</v>
      </c>
      <c r="N506" s="85">
        <v>78.3</v>
      </c>
      <c r="O506" s="85">
        <v>0</v>
      </c>
      <c r="P506" s="81">
        <f t="shared" si="173"/>
        <v>2673945</v>
      </c>
      <c r="Q506" s="84">
        <f t="shared" si="174"/>
        <v>1275682.9134567704</v>
      </c>
      <c r="R506" s="84">
        <f t="shared" si="175"/>
        <v>1130219.4870684538</v>
      </c>
      <c r="S506" s="84">
        <f t="shared" si="176"/>
        <v>268042.59947477595</v>
      </c>
      <c r="T506" s="84">
        <v>0</v>
      </c>
    </row>
    <row r="507" spans="1:20" ht="31.5">
      <c r="A507" s="118">
        <f t="shared" si="177"/>
        <v>28</v>
      </c>
      <c r="B507" s="57" t="s">
        <v>680</v>
      </c>
      <c r="C507" s="71">
        <v>253</v>
      </c>
      <c r="D507" s="130">
        <v>38279</v>
      </c>
      <c r="E507" s="130" t="s">
        <v>525</v>
      </c>
      <c r="F507" s="130" t="s">
        <v>525</v>
      </c>
      <c r="G507" s="33">
        <v>2</v>
      </c>
      <c r="H507" s="33">
        <v>2</v>
      </c>
      <c r="I507" s="85">
        <v>304.54</v>
      </c>
      <c r="J507" s="33">
        <v>2</v>
      </c>
      <c r="K507" s="135">
        <v>2</v>
      </c>
      <c r="L507" s="84">
        <v>0</v>
      </c>
      <c r="M507" s="85">
        <v>304.54</v>
      </c>
      <c r="N507" s="85">
        <v>304.54</v>
      </c>
      <c r="O507" s="85">
        <v>0</v>
      </c>
      <c r="P507" s="81">
        <f t="shared" si="173"/>
        <v>10400041</v>
      </c>
      <c r="Q507" s="84">
        <v>4961641</v>
      </c>
      <c r="R507" s="84">
        <v>4395875</v>
      </c>
      <c r="S507" s="84">
        <v>1042525</v>
      </c>
      <c r="T507" s="84">
        <v>0</v>
      </c>
    </row>
    <row r="508" spans="1:20" ht="31.5">
      <c r="A508" s="118">
        <f t="shared" si="177"/>
        <v>29</v>
      </c>
      <c r="B508" s="57" t="s">
        <v>659</v>
      </c>
      <c r="C508" s="71">
        <v>254</v>
      </c>
      <c r="D508" s="130">
        <v>38279</v>
      </c>
      <c r="E508" s="130" t="s">
        <v>525</v>
      </c>
      <c r="F508" s="130" t="s">
        <v>525</v>
      </c>
      <c r="G508" s="33">
        <v>4</v>
      </c>
      <c r="H508" s="33">
        <v>4</v>
      </c>
      <c r="I508" s="85">
        <v>80.9</v>
      </c>
      <c r="J508" s="33">
        <v>2</v>
      </c>
      <c r="K508" s="135">
        <v>2</v>
      </c>
      <c r="L508" s="84">
        <v>0</v>
      </c>
      <c r="M508" s="85">
        <v>80.9</v>
      </c>
      <c r="N508" s="85">
        <v>80.9</v>
      </c>
      <c r="O508" s="85">
        <v>0</v>
      </c>
      <c r="P508" s="81">
        <f t="shared" si="173"/>
        <v>2762735</v>
      </c>
      <c r="Q508" s="84">
        <f t="shared" si="174"/>
        <v>1318042.7547720654</v>
      </c>
      <c r="R508" s="84">
        <f t="shared" si="175"/>
        <v>1167749.125208658</v>
      </c>
      <c r="S508" s="84">
        <f t="shared" si="176"/>
        <v>276943.12001927686</v>
      </c>
      <c r="T508" s="84">
        <v>0</v>
      </c>
    </row>
    <row r="509" spans="1:20" ht="31.5">
      <c r="A509" s="118">
        <f t="shared" si="177"/>
        <v>30</v>
      </c>
      <c r="B509" s="57" t="s">
        <v>660</v>
      </c>
      <c r="C509" s="71">
        <v>255</v>
      </c>
      <c r="D509" s="130">
        <v>38279</v>
      </c>
      <c r="E509" s="130" t="s">
        <v>525</v>
      </c>
      <c r="F509" s="130" t="s">
        <v>525</v>
      </c>
      <c r="G509" s="33">
        <v>4</v>
      </c>
      <c r="H509" s="33">
        <v>4</v>
      </c>
      <c r="I509" s="85">
        <v>83.1</v>
      </c>
      <c r="J509" s="33">
        <v>2</v>
      </c>
      <c r="K509" s="135">
        <v>2</v>
      </c>
      <c r="L509" s="84">
        <v>0</v>
      </c>
      <c r="M509" s="85">
        <v>83.1</v>
      </c>
      <c r="N509" s="85">
        <v>83.1</v>
      </c>
      <c r="O509" s="85">
        <v>0</v>
      </c>
      <c r="P509" s="81">
        <f t="shared" si="173"/>
        <v>2837865</v>
      </c>
      <c r="Q509" s="84">
        <f t="shared" si="174"/>
        <v>1353885.6974234688</v>
      </c>
      <c r="R509" s="84">
        <f t="shared" si="175"/>
        <v>1199504.9728657536</v>
      </c>
      <c r="S509" s="84">
        <f t="shared" si="176"/>
        <v>284474.32971077756</v>
      </c>
      <c r="T509" s="84">
        <v>0</v>
      </c>
    </row>
    <row r="510" spans="1:20" ht="31.5">
      <c r="A510" s="118">
        <f t="shared" si="177"/>
        <v>31</v>
      </c>
      <c r="B510" s="57" t="s">
        <v>661</v>
      </c>
      <c r="C510" s="71">
        <v>221</v>
      </c>
      <c r="D510" s="130">
        <v>38251</v>
      </c>
      <c r="E510" s="130" t="s">
        <v>525</v>
      </c>
      <c r="F510" s="130" t="s">
        <v>525</v>
      </c>
      <c r="G510" s="33">
        <v>18</v>
      </c>
      <c r="H510" s="33">
        <v>18</v>
      </c>
      <c r="I510" s="85">
        <v>263.7</v>
      </c>
      <c r="J510" s="33">
        <v>9</v>
      </c>
      <c r="K510" s="135">
        <v>5</v>
      </c>
      <c r="L510" s="135">
        <v>4</v>
      </c>
      <c r="M510" s="85">
        <v>263.7</v>
      </c>
      <c r="N510" s="85">
        <v>136.8</v>
      </c>
      <c r="O510" s="85">
        <v>126.9</v>
      </c>
      <c r="P510" s="81">
        <f t="shared" si="173"/>
        <v>9005355</v>
      </c>
      <c r="Q510" s="84">
        <f t="shared" si="174"/>
        <v>4296265.444170502</v>
      </c>
      <c r="R510" s="84">
        <f t="shared" si="175"/>
        <v>3806371.3759891605</v>
      </c>
      <c r="S510" s="84">
        <f t="shared" si="176"/>
        <v>902718.1798403375</v>
      </c>
      <c r="T510" s="84">
        <v>0</v>
      </c>
    </row>
    <row r="511" spans="1:20" ht="31.5">
      <c r="A511" s="118">
        <f t="shared" si="177"/>
        <v>32</v>
      </c>
      <c r="B511" s="57" t="s">
        <v>681</v>
      </c>
      <c r="C511" s="71">
        <v>232</v>
      </c>
      <c r="D511" s="130">
        <v>38279</v>
      </c>
      <c r="E511" s="130" t="s">
        <v>525</v>
      </c>
      <c r="F511" s="130" t="s">
        <v>525</v>
      </c>
      <c r="G511" s="33">
        <v>6</v>
      </c>
      <c r="H511" s="33">
        <v>6</v>
      </c>
      <c r="I511" s="85">
        <v>116.1</v>
      </c>
      <c r="J511" s="33">
        <v>2</v>
      </c>
      <c r="K511" s="135">
        <v>2</v>
      </c>
      <c r="L511" s="84">
        <v>0</v>
      </c>
      <c r="M511" s="85">
        <v>116.1</v>
      </c>
      <c r="N511" s="85">
        <v>116.1</v>
      </c>
      <c r="O511" s="85">
        <v>0</v>
      </c>
      <c r="P511" s="81">
        <f t="shared" si="173"/>
        <v>3964815</v>
      </c>
      <c r="Q511" s="84">
        <f t="shared" si="174"/>
        <v>1891529.8371945214</v>
      </c>
      <c r="R511" s="84">
        <f t="shared" si="175"/>
        <v>1675842.68772219</v>
      </c>
      <c r="S511" s="84">
        <f t="shared" si="176"/>
        <v>397442.4750832885</v>
      </c>
      <c r="T511" s="84">
        <v>0</v>
      </c>
    </row>
    <row r="512" spans="1:20" ht="31.5">
      <c r="A512" s="118">
        <f t="shared" si="177"/>
        <v>33</v>
      </c>
      <c r="B512" s="57" t="s">
        <v>682</v>
      </c>
      <c r="C512" s="71">
        <v>234</v>
      </c>
      <c r="D512" s="130">
        <v>38279</v>
      </c>
      <c r="E512" s="130" t="s">
        <v>525</v>
      </c>
      <c r="F512" s="130" t="s">
        <v>525</v>
      </c>
      <c r="G512" s="33">
        <v>6</v>
      </c>
      <c r="H512" s="33">
        <v>6</v>
      </c>
      <c r="I512" s="85">
        <v>96.4</v>
      </c>
      <c r="J512" s="33">
        <v>3</v>
      </c>
      <c r="K512" s="84">
        <v>0</v>
      </c>
      <c r="L512" s="135">
        <v>3</v>
      </c>
      <c r="M512" s="85">
        <v>96.4</v>
      </c>
      <c r="N512" s="85">
        <v>0</v>
      </c>
      <c r="O512" s="85">
        <v>96.4</v>
      </c>
      <c r="P512" s="81">
        <f t="shared" si="173"/>
        <v>3292060</v>
      </c>
      <c r="Q512" s="84">
        <f t="shared" si="174"/>
        <v>1570572.5779978628</v>
      </c>
      <c r="R512" s="84">
        <f t="shared" si="175"/>
        <v>1391483.5064291053</v>
      </c>
      <c r="S512" s="84">
        <f t="shared" si="176"/>
        <v>330003.915573032</v>
      </c>
      <c r="T512" s="84">
        <v>0</v>
      </c>
    </row>
    <row r="513" spans="1:20" ht="31.5">
      <c r="A513" s="118">
        <f t="shared" si="177"/>
        <v>34</v>
      </c>
      <c r="B513" s="57" t="s">
        <v>683</v>
      </c>
      <c r="C513" s="71">
        <v>235</v>
      </c>
      <c r="D513" s="130">
        <v>38279</v>
      </c>
      <c r="E513" s="130" t="s">
        <v>525</v>
      </c>
      <c r="F513" s="130" t="s">
        <v>525</v>
      </c>
      <c r="G513" s="33">
        <v>7</v>
      </c>
      <c r="H513" s="33">
        <v>7</v>
      </c>
      <c r="I513" s="85">
        <v>116.9</v>
      </c>
      <c r="J513" s="33">
        <v>3</v>
      </c>
      <c r="K513" s="84">
        <v>0</v>
      </c>
      <c r="L513" s="135">
        <v>3</v>
      </c>
      <c r="M513" s="85">
        <v>116.9</v>
      </c>
      <c r="N513" s="85">
        <v>0</v>
      </c>
      <c r="O513" s="85">
        <v>116.9</v>
      </c>
      <c r="P513" s="81">
        <f t="shared" si="173"/>
        <v>3992135</v>
      </c>
      <c r="Q513" s="84">
        <f t="shared" si="174"/>
        <v>1904563.6345223046</v>
      </c>
      <c r="R513" s="84">
        <f t="shared" si="175"/>
        <v>1687390.2686884068</v>
      </c>
      <c r="S513" s="84">
        <f t="shared" si="176"/>
        <v>400181.0967892888</v>
      </c>
      <c r="T513" s="84">
        <v>0</v>
      </c>
    </row>
    <row r="514" spans="1:20" ht="31.5">
      <c r="A514" s="118">
        <f t="shared" si="177"/>
        <v>35</v>
      </c>
      <c r="B514" s="57" t="s">
        <v>664</v>
      </c>
      <c r="C514" s="71">
        <v>93</v>
      </c>
      <c r="D514" s="130">
        <v>38154</v>
      </c>
      <c r="E514" s="130" t="s">
        <v>525</v>
      </c>
      <c r="F514" s="130" t="s">
        <v>525</v>
      </c>
      <c r="G514" s="33">
        <v>8</v>
      </c>
      <c r="H514" s="33">
        <v>8</v>
      </c>
      <c r="I514" s="85">
        <v>86.4</v>
      </c>
      <c r="J514" s="33">
        <v>3</v>
      </c>
      <c r="K514" s="135">
        <v>2</v>
      </c>
      <c r="L514" s="135">
        <v>1</v>
      </c>
      <c r="M514" s="85">
        <v>86.4</v>
      </c>
      <c r="N514" s="85">
        <v>43.2</v>
      </c>
      <c r="O514" s="85">
        <v>43.2</v>
      </c>
      <c r="P514" s="81">
        <f t="shared" si="173"/>
        <v>2950560</v>
      </c>
      <c r="Q514" s="84">
        <f t="shared" si="174"/>
        <v>1407650.1114005742</v>
      </c>
      <c r="R514" s="84">
        <f t="shared" si="175"/>
        <v>1247138.7443513973</v>
      </c>
      <c r="S514" s="84">
        <f t="shared" si="176"/>
        <v>295771.1442480287</v>
      </c>
      <c r="T514" s="84">
        <v>0</v>
      </c>
    </row>
    <row r="515" spans="1:20" ht="31.5">
      <c r="A515" s="118">
        <f t="shared" si="177"/>
        <v>36</v>
      </c>
      <c r="B515" s="57" t="s">
        <v>665</v>
      </c>
      <c r="C515" s="71">
        <v>101</v>
      </c>
      <c r="D515" s="130">
        <v>38154</v>
      </c>
      <c r="E515" s="130" t="s">
        <v>525</v>
      </c>
      <c r="F515" s="130" t="s">
        <v>525</v>
      </c>
      <c r="G515" s="33">
        <v>5</v>
      </c>
      <c r="H515" s="33">
        <v>5</v>
      </c>
      <c r="I515" s="85">
        <v>116.7</v>
      </c>
      <c r="J515" s="33">
        <v>2</v>
      </c>
      <c r="K515" s="135">
        <v>2</v>
      </c>
      <c r="L515" s="84">
        <v>0</v>
      </c>
      <c r="M515" s="85">
        <v>116.7</v>
      </c>
      <c r="N515" s="85">
        <v>116.7</v>
      </c>
      <c r="O515" s="85">
        <v>0</v>
      </c>
      <c r="P515" s="81">
        <f t="shared" si="173"/>
        <v>3985305</v>
      </c>
      <c r="Q515" s="84">
        <f t="shared" si="174"/>
        <v>1901305.185190359</v>
      </c>
      <c r="R515" s="84">
        <f t="shared" si="175"/>
        <v>1684503.3734468527</v>
      </c>
      <c r="S515" s="84">
        <f t="shared" si="176"/>
        <v>399496.4413627887</v>
      </c>
      <c r="T515" s="84">
        <v>0</v>
      </c>
    </row>
    <row r="516" spans="1:20" ht="47.25">
      <c r="A516" s="118">
        <f t="shared" si="177"/>
        <v>37</v>
      </c>
      <c r="B516" s="57" t="s">
        <v>684</v>
      </c>
      <c r="C516" s="71">
        <v>25</v>
      </c>
      <c r="D516" s="130">
        <v>38097</v>
      </c>
      <c r="E516" s="130" t="s">
        <v>525</v>
      </c>
      <c r="F516" s="130" t="s">
        <v>525</v>
      </c>
      <c r="G516" s="33">
        <v>6</v>
      </c>
      <c r="H516" s="33">
        <v>6</v>
      </c>
      <c r="I516" s="85">
        <v>85.6</v>
      </c>
      <c r="J516" s="33">
        <v>4</v>
      </c>
      <c r="K516" s="135">
        <v>3</v>
      </c>
      <c r="L516" s="135">
        <v>1</v>
      </c>
      <c r="M516" s="85">
        <v>85.6</v>
      </c>
      <c r="N516" s="85">
        <v>64.7</v>
      </c>
      <c r="O516" s="85">
        <v>20.9</v>
      </c>
      <c r="P516" s="81">
        <f t="shared" si="173"/>
        <v>2923240</v>
      </c>
      <c r="Q516" s="84">
        <f t="shared" si="174"/>
        <v>1394616.314072791</v>
      </c>
      <c r="R516" s="84">
        <f t="shared" si="175"/>
        <v>1235591.1633851805</v>
      </c>
      <c r="S516" s="84">
        <f t="shared" si="176"/>
        <v>293032.5225420284</v>
      </c>
      <c r="T516" s="84">
        <v>0</v>
      </c>
    </row>
    <row r="517" spans="1:20" ht="47.25">
      <c r="A517" s="118">
        <f t="shared" si="177"/>
        <v>38</v>
      </c>
      <c r="B517" s="57" t="s">
        <v>685</v>
      </c>
      <c r="C517" s="71">
        <v>112</v>
      </c>
      <c r="D517" s="130">
        <v>38188</v>
      </c>
      <c r="E517" s="130" t="s">
        <v>525</v>
      </c>
      <c r="F517" s="130" t="s">
        <v>525</v>
      </c>
      <c r="G517" s="33">
        <v>26</v>
      </c>
      <c r="H517" s="33">
        <v>26</v>
      </c>
      <c r="I517" s="85">
        <v>263.1</v>
      </c>
      <c r="J517" s="33">
        <v>8</v>
      </c>
      <c r="K517" s="135">
        <v>6</v>
      </c>
      <c r="L517" s="135">
        <v>2</v>
      </c>
      <c r="M517" s="85">
        <v>263.1</v>
      </c>
      <c r="N517" s="85">
        <v>227.8</v>
      </c>
      <c r="O517" s="85">
        <v>35.3</v>
      </c>
      <c r="P517" s="81">
        <f t="shared" si="173"/>
        <v>8984865</v>
      </c>
      <c r="Q517" s="84">
        <f t="shared" si="174"/>
        <v>4286490.096174666</v>
      </c>
      <c r="R517" s="84">
        <f t="shared" si="175"/>
        <v>3797710.6902644983</v>
      </c>
      <c r="S517" s="84">
        <f t="shared" si="176"/>
        <v>900664.2135608374</v>
      </c>
      <c r="T517" s="84">
        <v>0</v>
      </c>
    </row>
    <row r="518" spans="1:20" ht="31.5">
      <c r="A518" s="118">
        <f t="shared" si="177"/>
        <v>39</v>
      </c>
      <c r="B518" s="57" t="s">
        <v>686</v>
      </c>
      <c r="C518" s="71">
        <v>114</v>
      </c>
      <c r="D518" s="130">
        <v>38188</v>
      </c>
      <c r="E518" s="130" t="s">
        <v>525</v>
      </c>
      <c r="F518" s="130" t="s">
        <v>525</v>
      </c>
      <c r="G518" s="33">
        <v>4</v>
      </c>
      <c r="H518" s="33">
        <v>4</v>
      </c>
      <c r="I518" s="85">
        <v>111.4</v>
      </c>
      <c r="J518" s="33">
        <v>4</v>
      </c>
      <c r="K518" s="135">
        <v>4</v>
      </c>
      <c r="L518" s="84">
        <v>0</v>
      </c>
      <c r="M518" s="85">
        <v>111.4</v>
      </c>
      <c r="N518" s="85">
        <v>111.4</v>
      </c>
      <c r="O518" s="85">
        <v>0</v>
      </c>
      <c r="P518" s="81">
        <f t="shared" si="173"/>
        <v>3804310</v>
      </c>
      <c r="Q518" s="84">
        <f t="shared" si="174"/>
        <v>1814956.2778937959</v>
      </c>
      <c r="R518" s="84">
        <f t="shared" si="175"/>
        <v>1608000.6495456675</v>
      </c>
      <c r="S518" s="84">
        <f t="shared" si="176"/>
        <v>381353.07256053697</v>
      </c>
      <c r="T518" s="84">
        <v>0</v>
      </c>
    </row>
    <row r="519" spans="1:20" ht="31.5">
      <c r="A519" s="118">
        <f t="shared" si="177"/>
        <v>40</v>
      </c>
      <c r="B519" s="57" t="s">
        <v>669</v>
      </c>
      <c r="C519" s="71">
        <v>122</v>
      </c>
      <c r="D519" s="130">
        <v>38188</v>
      </c>
      <c r="E519" s="130" t="s">
        <v>525</v>
      </c>
      <c r="F519" s="130" t="s">
        <v>525</v>
      </c>
      <c r="G519" s="33">
        <v>4</v>
      </c>
      <c r="H519" s="33">
        <v>4</v>
      </c>
      <c r="I519" s="85">
        <v>78.4</v>
      </c>
      <c r="J519" s="33">
        <v>2</v>
      </c>
      <c r="K519" s="135">
        <v>2</v>
      </c>
      <c r="L519" s="84">
        <v>0</v>
      </c>
      <c r="M519" s="85">
        <v>78.4</v>
      </c>
      <c r="N519" s="85">
        <v>78.4</v>
      </c>
      <c r="O519" s="85">
        <v>0</v>
      </c>
      <c r="P519" s="81">
        <f t="shared" si="173"/>
        <v>2677360</v>
      </c>
      <c r="Q519" s="84">
        <f t="shared" si="174"/>
        <v>1277312.1381227432</v>
      </c>
      <c r="R519" s="84">
        <f t="shared" si="175"/>
        <v>1131662.934689231</v>
      </c>
      <c r="S519" s="84">
        <f t="shared" si="176"/>
        <v>268384.927188026</v>
      </c>
      <c r="T519" s="84">
        <v>0</v>
      </c>
    </row>
    <row r="520" spans="1:20" ht="31.5">
      <c r="A520" s="118">
        <f t="shared" si="177"/>
        <v>41</v>
      </c>
      <c r="B520" s="57" t="s">
        <v>670</v>
      </c>
      <c r="C520" s="71">
        <v>124</v>
      </c>
      <c r="D520" s="130">
        <v>38188</v>
      </c>
      <c r="E520" s="130" t="s">
        <v>525</v>
      </c>
      <c r="F520" s="130" t="s">
        <v>525</v>
      </c>
      <c r="G520" s="33">
        <v>4</v>
      </c>
      <c r="H520" s="33">
        <v>4</v>
      </c>
      <c r="I520" s="85">
        <v>128.5</v>
      </c>
      <c r="J520" s="33">
        <v>4</v>
      </c>
      <c r="K520" s="135">
        <v>2</v>
      </c>
      <c r="L520" s="135">
        <v>2</v>
      </c>
      <c r="M520" s="85">
        <v>128.5</v>
      </c>
      <c r="N520" s="85">
        <v>75.1</v>
      </c>
      <c r="O520" s="85">
        <v>53.4</v>
      </c>
      <c r="P520" s="81">
        <f t="shared" si="173"/>
        <v>4388275</v>
      </c>
      <c r="Q520" s="84">
        <f t="shared" si="174"/>
        <v>2093553.6957751594</v>
      </c>
      <c r="R520" s="84">
        <f t="shared" si="175"/>
        <v>1854830.192698548</v>
      </c>
      <c r="S520" s="84">
        <f t="shared" si="176"/>
        <v>439891.11152629263</v>
      </c>
      <c r="T520" s="84">
        <v>0</v>
      </c>
    </row>
    <row r="521" spans="1:20" ht="31.5">
      <c r="A521" s="118">
        <f t="shared" si="177"/>
        <v>42</v>
      </c>
      <c r="B521" s="57" t="s">
        <v>671</v>
      </c>
      <c r="C521" s="71">
        <v>125</v>
      </c>
      <c r="D521" s="130">
        <v>38188</v>
      </c>
      <c r="E521" s="130" t="s">
        <v>525</v>
      </c>
      <c r="F521" s="130" t="s">
        <v>525</v>
      </c>
      <c r="G521" s="33">
        <v>2</v>
      </c>
      <c r="H521" s="33">
        <v>2</v>
      </c>
      <c r="I521" s="85">
        <v>135.1</v>
      </c>
      <c r="J521" s="33">
        <v>2</v>
      </c>
      <c r="K521" s="135">
        <v>1</v>
      </c>
      <c r="L521" s="135">
        <v>1</v>
      </c>
      <c r="M521" s="85">
        <v>135.1</v>
      </c>
      <c r="N521" s="85">
        <v>64.1</v>
      </c>
      <c r="O521" s="85">
        <v>71</v>
      </c>
      <c r="P521" s="81">
        <f t="shared" si="173"/>
        <v>4613665</v>
      </c>
      <c r="Q521" s="84">
        <f t="shared" si="174"/>
        <v>2201082.52372937</v>
      </c>
      <c r="R521" s="84">
        <f t="shared" si="175"/>
        <v>1950097.7356698352</v>
      </c>
      <c r="S521" s="84">
        <f t="shared" si="176"/>
        <v>462484.7406007948</v>
      </c>
      <c r="T521" s="84">
        <v>0</v>
      </c>
    </row>
    <row r="522" spans="1:20" ht="31.5">
      <c r="A522" s="118">
        <f t="shared" si="177"/>
        <v>43</v>
      </c>
      <c r="B522" s="57" t="s">
        <v>687</v>
      </c>
      <c r="C522" s="71">
        <v>126</v>
      </c>
      <c r="D522" s="130">
        <v>38188</v>
      </c>
      <c r="E522" s="130" t="s">
        <v>525</v>
      </c>
      <c r="F522" s="130" t="s">
        <v>525</v>
      </c>
      <c r="G522" s="33">
        <v>9</v>
      </c>
      <c r="H522" s="33">
        <v>9</v>
      </c>
      <c r="I522" s="85">
        <v>137.4</v>
      </c>
      <c r="J522" s="33">
        <v>4</v>
      </c>
      <c r="K522" s="135">
        <v>4</v>
      </c>
      <c r="L522" s="84">
        <v>0</v>
      </c>
      <c r="M522" s="85">
        <v>137.4</v>
      </c>
      <c r="N522" s="85">
        <v>137.4</v>
      </c>
      <c r="O522" s="85">
        <v>0</v>
      </c>
      <c r="P522" s="81">
        <f t="shared" si="173"/>
        <v>4692210</v>
      </c>
      <c r="Q522" s="84">
        <f t="shared" si="174"/>
        <v>2238554.6910467464</v>
      </c>
      <c r="R522" s="84">
        <f t="shared" si="175"/>
        <v>1983297.0309477083</v>
      </c>
      <c r="S522" s="84">
        <f t="shared" si="176"/>
        <v>470358.2780055456</v>
      </c>
      <c r="T522" s="84">
        <v>0</v>
      </c>
    </row>
    <row r="523" spans="1:20" ht="31.5">
      <c r="A523" s="118">
        <f t="shared" si="177"/>
        <v>44</v>
      </c>
      <c r="B523" s="57" t="s">
        <v>673</v>
      </c>
      <c r="C523" s="71">
        <v>127</v>
      </c>
      <c r="D523" s="130">
        <v>38188</v>
      </c>
      <c r="E523" s="130" t="s">
        <v>525</v>
      </c>
      <c r="F523" s="130" t="s">
        <v>525</v>
      </c>
      <c r="G523" s="33">
        <v>8</v>
      </c>
      <c r="H523" s="33">
        <v>8</v>
      </c>
      <c r="I523" s="85">
        <v>79.2</v>
      </c>
      <c r="J523" s="33">
        <v>3</v>
      </c>
      <c r="K523" s="135">
        <v>1</v>
      </c>
      <c r="L523" s="135">
        <v>2</v>
      </c>
      <c r="M523" s="85">
        <v>79.2</v>
      </c>
      <c r="N523" s="85">
        <v>26.5</v>
      </c>
      <c r="O523" s="85">
        <v>52.7</v>
      </c>
      <c r="P523" s="81">
        <f t="shared" si="173"/>
        <v>2704680</v>
      </c>
      <c r="Q523" s="84">
        <f t="shared" si="174"/>
        <v>1290345.9354505264</v>
      </c>
      <c r="R523" s="84">
        <f t="shared" si="175"/>
        <v>1143210.5156554475</v>
      </c>
      <c r="S523" s="84">
        <f t="shared" si="176"/>
        <v>271123.5488940263</v>
      </c>
      <c r="T523" s="84">
        <v>0</v>
      </c>
    </row>
    <row r="524" spans="1:20" ht="31.5">
      <c r="A524" s="118">
        <f t="shared" si="177"/>
        <v>45</v>
      </c>
      <c r="B524" s="57" t="s">
        <v>688</v>
      </c>
      <c r="C524" s="71">
        <v>30</v>
      </c>
      <c r="D524" s="130">
        <v>38188</v>
      </c>
      <c r="E524" s="130" t="s">
        <v>525</v>
      </c>
      <c r="F524" s="130" t="s">
        <v>525</v>
      </c>
      <c r="G524" s="33">
        <v>6</v>
      </c>
      <c r="H524" s="33">
        <v>6</v>
      </c>
      <c r="I524" s="85">
        <v>67.7</v>
      </c>
      <c r="J524" s="33">
        <v>2</v>
      </c>
      <c r="K524" s="135">
        <v>2</v>
      </c>
      <c r="L524" s="84">
        <v>0</v>
      </c>
      <c r="M524" s="85">
        <v>67.7</v>
      </c>
      <c r="N524" s="85">
        <v>67.7</v>
      </c>
      <c r="O524" s="85">
        <v>0</v>
      </c>
      <c r="P524" s="81">
        <f t="shared" si="173"/>
        <v>2311955</v>
      </c>
      <c r="Q524" s="84">
        <f t="shared" si="174"/>
        <v>1102985.0988636443</v>
      </c>
      <c r="R524" s="84">
        <f t="shared" si="175"/>
        <v>977214.0392660833</v>
      </c>
      <c r="S524" s="84">
        <f t="shared" si="176"/>
        <v>231755.86187027246</v>
      </c>
      <c r="T524" s="84">
        <v>0</v>
      </c>
    </row>
    <row r="525" spans="1:20" ht="31.5">
      <c r="A525" s="118">
        <f t="shared" si="177"/>
        <v>46</v>
      </c>
      <c r="B525" s="57" t="s">
        <v>689</v>
      </c>
      <c r="C525" s="71">
        <v>237</v>
      </c>
      <c r="D525" s="130">
        <v>38279</v>
      </c>
      <c r="E525" s="130" t="s">
        <v>525</v>
      </c>
      <c r="F525" s="130" t="s">
        <v>525</v>
      </c>
      <c r="G525" s="33">
        <v>3</v>
      </c>
      <c r="H525" s="33">
        <v>3</v>
      </c>
      <c r="I525" s="85">
        <v>71.6</v>
      </c>
      <c r="J525" s="33">
        <v>2</v>
      </c>
      <c r="K525" s="135">
        <v>2</v>
      </c>
      <c r="L525" s="84">
        <v>0</v>
      </c>
      <c r="M525" s="85">
        <v>71.6</v>
      </c>
      <c r="N525" s="85">
        <v>71.6</v>
      </c>
      <c r="O525" s="85">
        <v>0</v>
      </c>
      <c r="P525" s="81">
        <f t="shared" si="173"/>
        <v>2445140</v>
      </c>
      <c r="Q525" s="84">
        <f t="shared" si="174"/>
        <v>1166524.860836587</v>
      </c>
      <c r="R525" s="84">
        <f t="shared" si="175"/>
        <v>1033508.4964763894</v>
      </c>
      <c r="S525" s="84">
        <f t="shared" si="176"/>
        <v>245106.64268702373</v>
      </c>
      <c r="T525" s="84">
        <v>0</v>
      </c>
    </row>
    <row r="526" spans="1:20" ht="31.5">
      <c r="A526" s="118">
        <f t="shared" si="177"/>
        <v>47</v>
      </c>
      <c r="B526" s="133" t="s">
        <v>690</v>
      </c>
      <c r="C526" s="71">
        <v>247</v>
      </c>
      <c r="D526" s="130">
        <v>38279</v>
      </c>
      <c r="E526" s="130" t="s">
        <v>525</v>
      </c>
      <c r="F526" s="130" t="s">
        <v>525</v>
      </c>
      <c r="G526" s="33">
        <v>13</v>
      </c>
      <c r="H526" s="33">
        <v>13</v>
      </c>
      <c r="I526" s="85">
        <v>121.8</v>
      </c>
      <c r="J526" s="33">
        <v>4</v>
      </c>
      <c r="K526" s="135">
        <v>3</v>
      </c>
      <c r="L526" s="135">
        <v>1</v>
      </c>
      <c r="M526" s="85">
        <v>121.8</v>
      </c>
      <c r="N526" s="85">
        <v>90.8</v>
      </c>
      <c r="O526" s="85">
        <v>31</v>
      </c>
      <c r="P526" s="81">
        <f t="shared" si="173"/>
        <v>4159470</v>
      </c>
      <c r="Q526" s="84">
        <f t="shared" si="174"/>
        <v>1984395.643154976</v>
      </c>
      <c r="R526" s="84">
        <f t="shared" si="175"/>
        <v>1758119.2021064837</v>
      </c>
      <c r="S526" s="84">
        <f t="shared" si="176"/>
        <v>416955.1547385404</v>
      </c>
      <c r="T526" s="84">
        <v>0</v>
      </c>
    </row>
    <row r="527" spans="1:20" ht="15.75">
      <c r="A527" s="148" t="s">
        <v>19</v>
      </c>
      <c r="B527" s="148"/>
      <c r="C527" s="58"/>
      <c r="D527" s="58"/>
      <c r="E527" s="58"/>
      <c r="F527" s="58"/>
      <c r="G527" s="58">
        <f>G528+G529</f>
        <v>22</v>
      </c>
      <c r="H527" s="58">
        <f aca="true" t="shared" si="178" ref="H527:T527">H528+H529</f>
        <v>22</v>
      </c>
      <c r="I527" s="59">
        <f t="shared" si="178"/>
        <v>260.4</v>
      </c>
      <c r="J527" s="58">
        <f t="shared" si="178"/>
        <v>10</v>
      </c>
      <c r="K527" s="58">
        <f t="shared" si="178"/>
        <v>6</v>
      </c>
      <c r="L527" s="58">
        <f t="shared" si="178"/>
        <v>4</v>
      </c>
      <c r="M527" s="59">
        <f t="shared" si="178"/>
        <v>260.4</v>
      </c>
      <c r="N527" s="59">
        <f t="shared" si="178"/>
        <v>178.2</v>
      </c>
      <c r="O527" s="59">
        <f t="shared" si="178"/>
        <v>82.2</v>
      </c>
      <c r="P527" s="65">
        <f>P528+P529</f>
        <v>8892660</v>
      </c>
      <c r="Q527" s="65">
        <f t="shared" si="178"/>
        <v>4243700</v>
      </c>
      <c r="R527" s="65">
        <f t="shared" si="178"/>
        <v>3759800</v>
      </c>
      <c r="S527" s="65">
        <f t="shared" si="178"/>
        <v>889160</v>
      </c>
      <c r="T527" s="65">
        <f t="shared" si="178"/>
        <v>0</v>
      </c>
    </row>
    <row r="528" spans="1:20" ht="31.5">
      <c r="A528" s="43">
        <v>48</v>
      </c>
      <c r="B528" s="57" t="s">
        <v>20</v>
      </c>
      <c r="C528" s="71" t="s">
        <v>579</v>
      </c>
      <c r="D528" s="72">
        <v>40889</v>
      </c>
      <c r="E528" s="130" t="s">
        <v>525</v>
      </c>
      <c r="F528" s="130" t="s">
        <v>525</v>
      </c>
      <c r="G528" s="58">
        <v>13</v>
      </c>
      <c r="H528" s="58">
        <v>13</v>
      </c>
      <c r="I528" s="73">
        <v>124.9</v>
      </c>
      <c r="J528" s="58">
        <v>4</v>
      </c>
      <c r="K528" s="71">
        <v>4</v>
      </c>
      <c r="L528" s="71">
        <v>0</v>
      </c>
      <c r="M528" s="59">
        <v>124.9</v>
      </c>
      <c r="N528" s="73">
        <v>124.9</v>
      </c>
      <c r="O528" s="73">
        <v>0</v>
      </c>
      <c r="P528" s="81">
        <f>M528*34150</f>
        <v>4265335</v>
      </c>
      <c r="Q528" s="81">
        <v>2035477</v>
      </c>
      <c r="R528" s="81">
        <v>1803376</v>
      </c>
      <c r="S528" s="65">
        <f>P528-Q528-R528</f>
        <v>426482</v>
      </c>
      <c r="T528" s="65">
        <v>0</v>
      </c>
    </row>
    <row r="529" spans="1:20" ht="47.25">
      <c r="A529" s="43">
        <f>A528+1</f>
        <v>49</v>
      </c>
      <c r="B529" s="57" t="s">
        <v>21</v>
      </c>
      <c r="C529" s="71" t="s">
        <v>580</v>
      </c>
      <c r="D529" s="72">
        <v>40903</v>
      </c>
      <c r="E529" s="130" t="s">
        <v>525</v>
      </c>
      <c r="F529" s="130" t="s">
        <v>525</v>
      </c>
      <c r="G529" s="58">
        <v>9</v>
      </c>
      <c r="H529" s="58">
        <v>9</v>
      </c>
      <c r="I529" s="73">
        <v>135.5</v>
      </c>
      <c r="J529" s="58">
        <v>6</v>
      </c>
      <c r="K529" s="71">
        <v>2</v>
      </c>
      <c r="L529" s="71">
        <v>4</v>
      </c>
      <c r="M529" s="59">
        <v>135.5</v>
      </c>
      <c r="N529" s="73">
        <v>53.3</v>
      </c>
      <c r="O529" s="73">
        <v>82.2</v>
      </c>
      <c r="P529" s="81">
        <f>M529*34150</f>
        <v>4627325</v>
      </c>
      <c r="Q529" s="81">
        <v>2208223</v>
      </c>
      <c r="R529" s="81">
        <v>1956424</v>
      </c>
      <c r="S529" s="65">
        <f>P529-Q529-R529</f>
        <v>462678</v>
      </c>
      <c r="T529" s="65">
        <v>0</v>
      </c>
    </row>
    <row r="530" spans="1:20" ht="15.75">
      <c r="A530" s="153" t="s">
        <v>18</v>
      </c>
      <c r="B530" s="153"/>
      <c r="C530" s="74"/>
      <c r="D530" s="74"/>
      <c r="E530" s="74"/>
      <c r="F530" s="74"/>
      <c r="G530" s="74">
        <f>G531+G532+G533+G534+G535+G536+G537+G538+G539+G540+G541+G542+G543+G544+G545+G546+G547+G548+G549+G550+G551+G552</f>
        <v>196</v>
      </c>
      <c r="H530" s="74">
        <f aca="true" t="shared" si="179" ref="H530:N530">H531+H532+H533+H534+H535+H536+H537+H538+H539+H540+H541+H542+H543+H544+H545+H546+H547+H548+H549+H550+H551+H552</f>
        <v>196</v>
      </c>
      <c r="I530" s="82">
        <f t="shared" si="179"/>
        <v>2271.1</v>
      </c>
      <c r="J530" s="74">
        <f t="shared" si="179"/>
        <v>70</v>
      </c>
      <c r="K530" s="74">
        <f t="shared" si="179"/>
        <v>20</v>
      </c>
      <c r="L530" s="74">
        <f t="shared" si="179"/>
        <v>50</v>
      </c>
      <c r="M530" s="82">
        <f t="shared" si="179"/>
        <v>2072.5</v>
      </c>
      <c r="N530" s="82">
        <f t="shared" si="179"/>
        <v>621.0000000000001</v>
      </c>
      <c r="O530" s="82">
        <f aca="true" t="shared" si="180" ref="O530:T530">O531+O532+O533+O534+O535+O536+O537+O538+O539+O540+O541+O542+O543+O544+O545+O546+O547+O548+O549+O550+O551+O552</f>
        <v>1451.5000000000002</v>
      </c>
      <c r="P530" s="81">
        <f t="shared" si="180"/>
        <v>70775875</v>
      </c>
      <c r="Q530" s="81">
        <f t="shared" si="180"/>
        <v>27355499.9952</v>
      </c>
      <c r="R530" s="81">
        <f t="shared" si="180"/>
        <v>12771399.989937503</v>
      </c>
      <c r="S530" s="81">
        <f t="shared" si="180"/>
        <v>30648975.014862496</v>
      </c>
      <c r="T530" s="81">
        <f t="shared" si="180"/>
        <v>0</v>
      </c>
    </row>
    <row r="531" spans="1:20" ht="31.5">
      <c r="A531" s="54">
        <v>50</v>
      </c>
      <c r="B531" s="98" t="s">
        <v>22</v>
      </c>
      <c r="C531" s="74" t="s">
        <v>583</v>
      </c>
      <c r="D531" s="79">
        <v>38041</v>
      </c>
      <c r="E531" s="130" t="s">
        <v>525</v>
      </c>
      <c r="F531" s="130" t="s">
        <v>525</v>
      </c>
      <c r="G531" s="74">
        <v>30</v>
      </c>
      <c r="H531" s="74">
        <f>G531</f>
        <v>30</v>
      </c>
      <c r="I531" s="82">
        <v>297.4</v>
      </c>
      <c r="J531" s="74">
        <f>K531+L531</f>
        <v>10</v>
      </c>
      <c r="K531" s="74">
        <v>4</v>
      </c>
      <c r="L531" s="74">
        <f>7-1</f>
        <v>6</v>
      </c>
      <c r="M531" s="82">
        <f>N531+O531</f>
        <v>291.70000000000005</v>
      </c>
      <c r="N531" s="82">
        <f>159.3+7.8</f>
        <v>167.10000000000002</v>
      </c>
      <c r="O531" s="82">
        <f>158.6-34</f>
        <v>124.6</v>
      </c>
      <c r="P531" s="83">
        <f>M531*34150</f>
        <v>9961555.000000002</v>
      </c>
      <c r="Q531" s="81">
        <f>M531*34150*38.65088%</f>
        <v>3850228.6691840007</v>
      </c>
      <c r="R531" s="81">
        <f>M531*34150*18.04485%</f>
        <v>1797547.6574175004</v>
      </c>
      <c r="S531" s="81">
        <f>P531-Q531-R531</f>
        <v>4313778.6733985</v>
      </c>
      <c r="T531" s="84">
        <v>0</v>
      </c>
    </row>
    <row r="532" spans="1:20" ht="31.5">
      <c r="A532" s="54">
        <f>A531+1</f>
        <v>51</v>
      </c>
      <c r="B532" s="98" t="s">
        <v>23</v>
      </c>
      <c r="C532" s="74" t="s">
        <v>583</v>
      </c>
      <c r="D532" s="79">
        <v>38041</v>
      </c>
      <c r="E532" s="130" t="s">
        <v>525</v>
      </c>
      <c r="F532" s="130" t="s">
        <v>525</v>
      </c>
      <c r="G532" s="74">
        <v>13</v>
      </c>
      <c r="H532" s="74">
        <f>G532</f>
        <v>13</v>
      </c>
      <c r="I532" s="82">
        <v>122.3</v>
      </c>
      <c r="J532" s="74">
        <f>K532+L532</f>
        <v>4</v>
      </c>
      <c r="K532" s="74">
        <v>4</v>
      </c>
      <c r="L532" s="74">
        <v>0</v>
      </c>
      <c r="M532" s="82">
        <f>N532+O532</f>
        <v>102.2</v>
      </c>
      <c r="N532" s="82">
        <v>102.2</v>
      </c>
      <c r="O532" s="82">
        <v>0</v>
      </c>
      <c r="P532" s="83">
        <f aca="true" t="shared" si="181" ref="P532:P552">M532*34150</f>
        <v>3490130</v>
      </c>
      <c r="Q532" s="81">
        <f aca="true" t="shared" si="182" ref="Q532:Q551">M532*34150*38.65088%</f>
        <v>1348965.958144</v>
      </c>
      <c r="R532" s="81">
        <f aca="true" t="shared" si="183" ref="R532:R551">M532*34150*18.04485%</f>
        <v>629788.723305</v>
      </c>
      <c r="S532" s="81">
        <f>P532-Q532-R532</f>
        <v>1511375.3185510002</v>
      </c>
      <c r="T532" s="84">
        <v>0</v>
      </c>
    </row>
    <row r="533" spans="1:20" ht="31.5">
      <c r="A533" s="54">
        <f aca="true" t="shared" si="184" ref="A533:A552">A532+1</f>
        <v>52</v>
      </c>
      <c r="B533" s="99" t="s">
        <v>24</v>
      </c>
      <c r="C533" s="80" t="s">
        <v>583</v>
      </c>
      <c r="D533" s="79">
        <v>38047</v>
      </c>
      <c r="E533" s="130" t="s">
        <v>525</v>
      </c>
      <c r="F533" s="130" t="s">
        <v>525</v>
      </c>
      <c r="G533" s="74">
        <v>27</v>
      </c>
      <c r="H533" s="74">
        <f>G533</f>
        <v>27</v>
      </c>
      <c r="I533" s="82">
        <f>375.5</f>
        <v>375.5</v>
      </c>
      <c r="J533" s="74">
        <v>8</v>
      </c>
      <c r="K533" s="74">
        <v>0</v>
      </c>
      <c r="L533" s="74">
        <f>J533-K533</f>
        <v>8</v>
      </c>
      <c r="M533" s="82">
        <v>306.5</v>
      </c>
      <c r="N533" s="82">
        <v>0</v>
      </c>
      <c r="O533" s="82">
        <f>M533-N533</f>
        <v>306.5</v>
      </c>
      <c r="P533" s="83">
        <f t="shared" si="181"/>
        <v>10466975</v>
      </c>
      <c r="Q533" s="81">
        <f t="shared" si="182"/>
        <v>4045577.9468799997</v>
      </c>
      <c r="R533" s="81">
        <f t="shared" si="183"/>
        <v>1888749.9382875</v>
      </c>
      <c r="S533" s="81">
        <f>P533-Q533-R533</f>
        <v>4532647.1148325</v>
      </c>
      <c r="T533" s="84">
        <v>0</v>
      </c>
    </row>
    <row r="534" spans="1:20" ht="31.5">
      <c r="A534" s="54">
        <f t="shared" si="184"/>
        <v>53</v>
      </c>
      <c r="B534" s="99" t="s">
        <v>25</v>
      </c>
      <c r="C534" s="74" t="s">
        <v>583</v>
      </c>
      <c r="D534" s="79">
        <v>38042</v>
      </c>
      <c r="E534" s="130" t="s">
        <v>525</v>
      </c>
      <c r="F534" s="130" t="s">
        <v>525</v>
      </c>
      <c r="G534" s="74">
        <v>19</v>
      </c>
      <c r="H534" s="74">
        <f aca="true" t="shared" si="185" ref="H534:H552">G534</f>
        <v>19</v>
      </c>
      <c r="I534" s="82">
        <v>111.5</v>
      </c>
      <c r="J534" s="74">
        <v>6</v>
      </c>
      <c r="K534" s="74">
        <v>0</v>
      </c>
      <c r="L534" s="74">
        <f aca="true" t="shared" si="186" ref="L534:L552">J534-K534</f>
        <v>6</v>
      </c>
      <c r="M534" s="82">
        <v>111.5</v>
      </c>
      <c r="N534" s="82">
        <v>0</v>
      </c>
      <c r="O534" s="82">
        <f aca="true" t="shared" si="187" ref="O534:O552">M534-N534</f>
        <v>111.5</v>
      </c>
      <c r="P534" s="83">
        <f t="shared" si="181"/>
        <v>3807725</v>
      </c>
      <c r="Q534" s="81">
        <f t="shared" si="182"/>
        <v>1471719.22048</v>
      </c>
      <c r="R534" s="81">
        <f t="shared" si="183"/>
        <v>687098.2646625</v>
      </c>
      <c r="S534" s="81">
        <f aca="true" t="shared" si="188" ref="S534:S552">P534-Q534-R534</f>
        <v>1648907.5148575003</v>
      </c>
      <c r="T534" s="84">
        <v>0</v>
      </c>
    </row>
    <row r="535" spans="1:20" ht="31.5">
      <c r="A535" s="54">
        <f t="shared" si="184"/>
        <v>54</v>
      </c>
      <c r="B535" s="99" t="s">
        <v>26</v>
      </c>
      <c r="C535" s="74" t="s">
        <v>583</v>
      </c>
      <c r="D535" s="79">
        <v>38042</v>
      </c>
      <c r="E535" s="130" t="s">
        <v>525</v>
      </c>
      <c r="F535" s="130" t="s">
        <v>525</v>
      </c>
      <c r="G535" s="74">
        <v>5</v>
      </c>
      <c r="H535" s="74">
        <f t="shared" si="185"/>
        <v>5</v>
      </c>
      <c r="I535" s="82">
        <v>94.3</v>
      </c>
      <c r="J535" s="74">
        <v>3</v>
      </c>
      <c r="K535" s="74">
        <v>1</v>
      </c>
      <c r="L535" s="74">
        <f t="shared" si="186"/>
        <v>2</v>
      </c>
      <c r="M535" s="82">
        <v>76.3</v>
      </c>
      <c r="N535" s="82">
        <v>39.3</v>
      </c>
      <c r="O535" s="82">
        <f t="shared" si="187"/>
        <v>37</v>
      </c>
      <c r="P535" s="83">
        <f t="shared" si="181"/>
        <v>2605645</v>
      </c>
      <c r="Q535" s="81">
        <f t="shared" si="182"/>
        <v>1007104.722176</v>
      </c>
      <c r="R535" s="81">
        <f t="shared" si="183"/>
        <v>470184.73178250005</v>
      </c>
      <c r="S535" s="81">
        <f t="shared" si="188"/>
        <v>1128355.5460414998</v>
      </c>
      <c r="T535" s="84">
        <v>0</v>
      </c>
    </row>
    <row r="536" spans="1:20" ht="31.5">
      <c r="A536" s="54">
        <f t="shared" si="184"/>
        <v>55</v>
      </c>
      <c r="B536" s="99" t="s">
        <v>27</v>
      </c>
      <c r="C536" s="74" t="s">
        <v>583</v>
      </c>
      <c r="D536" s="79">
        <v>38042</v>
      </c>
      <c r="E536" s="130" t="s">
        <v>525</v>
      </c>
      <c r="F536" s="130" t="s">
        <v>525</v>
      </c>
      <c r="G536" s="74">
        <v>5</v>
      </c>
      <c r="H536" s="74">
        <f t="shared" si="185"/>
        <v>5</v>
      </c>
      <c r="I536" s="82">
        <v>36.2</v>
      </c>
      <c r="J536" s="74">
        <v>2</v>
      </c>
      <c r="K536" s="74">
        <v>0</v>
      </c>
      <c r="L536" s="74">
        <f t="shared" si="186"/>
        <v>2</v>
      </c>
      <c r="M536" s="82">
        <v>36.2</v>
      </c>
      <c r="N536" s="82">
        <v>0</v>
      </c>
      <c r="O536" s="82">
        <f t="shared" si="187"/>
        <v>36.2</v>
      </c>
      <c r="P536" s="83">
        <f t="shared" si="181"/>
        <v>1236230</v>
      </c>
      <c r="Q536" s="81">
        <f t="shared" si="182"/>
        <v>477813.773824</v>
      </c>
      <c r="R536" s="81">
        <f t="shared" si="183"/>
        <v>223075.849155</v>
      </c>
      <c r="S536" s="81">
        <f t="shared" si="188"/>
        <v>535340.377021</v>
      </c>
      <c r="T536" s="84">
        <v>0</v>
      </c>
    </row>
    <row r="537" spans="1:20" ht="31.5">
      <c r="A537" s="54">
        <f t="shared" si="184"/>
        <v>56</v>
      </c>
      <c r="B537" s="99" t="s">
        <v>28</v>
      </c>
      <c r="C537" s="74" t="s">
        <v>583</v>
      </c>
      <c r="D537" s="79">
        <v>38042</v>
      </c>
      <c r="E537" s="130" t="s">
        <v>525</v>
      </c>
      <c r="F537" s="130" t="s">
        <v>525</v>
      </c>
      <c r="G537" s="74">
        <v>9</v>
      </c>
      <c r="H537" s="74">
        <f t="shared" si="185"/>
        <v>9</v>
      </c>
      <c r="I537" s="82">
        <v>152.6</v>
      </c>
      <c r="J537" s="74">
        <v>4</v>
      </c>
      <c r="K537" s="74">
        <v>1</v>
      </c>
      <c r="L537" s="74">
        <f t="shared" si="186"/>
        <v>3</v>
      </c>
      <c r="M537" s="82">
        <v>94.4</v>
      </c>
      <c r="N537" s="82">
        <v>30.3</v>
      </c>
      <c r="O537" s="82">
        <f t="shared" si="187"/>
        <v>64.10000000000001</v>
      </c>
      <c r="P537" s="83">
        <f t="shared" si="181"/>
        <v>3223760</v>
      </c>
      <c r="Q537" s="81">
        <f t="shared" si="182"/>
        <v>1246011.609088</v>
      </c>
      <c r="R537" s="81">
        <f t="shared" si="183"/>
        <v>581722.65636</v>
      </c>
      <c r="S537" s="81">
        <f t="shared" si="188"/>
        <v>1396025.7345520002</v>
      </c>
      <c r="T537" s="84">
        <v>0</v>
      </c>
    </row>
    <row r="538" spans="1:20" ht="31.5">
      <c r="A538" s="54">
        <f t="shared" si="184"/>
        <v>57</v>
      </c>
      <c r="B538" s="100" t="s">
        <v>29</v>
      </c>
      <c r="C538" s="74" t="s">
        <v>583</v>
      </c>
      <c r="D538" s="79">
        <v>38041</v>
      </c>
      <c r="E538" s="130" t="s">
        <v>525</v>
      </c>
      <c r="F538" s="130" t="s">
        <v>525</v>
      </c>
      <c r="G538" s="74">
        <v>1</v>
      </c>
      <c r="H538" s="74">
        <f t="shared" si="185"/>
        <v>1</v>
      </c>
      <c r="I538" s="82">
        <v>33.2</v>
      </c>
      <c r="J538" s="74">
        <v>1</v>
      </c>
      <c r="K538" s="74">
        <v>0</v>
      </c>
      <c r="L538" s="74">
        <f t="shared" si="186"/>
        <v>1</v>
      </c>
      <c r="M538" s="82">
        <v>33.2</v>
      </c>
      <c r="N538" s="82">
        <v>0</v>
      </c>
      <c r="O538" s="82">
        <f t="shared" si="187"/>
        <v>33.2</v>
      </c>
      <c r="P538" s="83">
        <f t="shared" si="181"/>
        <v>1133780</v>
      </c>
      <c r="Q538" s="81">
        <f t="shared" si="182"/>
        <v>438215.94726399996</v>
      </c>
      <c r="R538" s="81">
        <f t="shared" si="183"/>
        <v>204588.90033</v>
      </c>
      <c r="S538" s="81">
        <f t="shared" si="188"/>
        <v>490975.15240600007</v>
      </c>
      <c r="T538" s="84">
        <v>0</v>
      </c>
    </row>
    <row r="539" spans="1:20" ht="31.5">
      <c r="A539" s="54">
        <f t="shared" si="184"/>
        <v>58</v>
      </c>
      <c r="B539" s="99" t="s">
        <v>30</v>
      </c>
      <c r="C539" s="74" t="s">
        <v>583</v>
      </c>
      <c r="D539" s="79">
        <v>38042</v>
      </c>
      <c r="E539" s="130" t="s">
        <v>525</v>
      </c>
      <c r="F539" s="130" t="s">
        <v>525</v>
      </c>
      <c r="G539" s="74">
        <v>23</v>
      </c>
      <c r="H539" s="74">
        <f t="shared" si="185"/>
        <v>23</v>
      </c>
      <c r="I539" s="82">
        <v>157.9</v>
      </c>
      <c r="J539" s="74">
        <v>4</v>
      </c>
      <c r="K539" s="74">
        <v>0</v>
      </c>
      <c r="L539" s="74">
        <f t="shared" si="186"/>
        <v>4</v>
      </c>
      <c r="M539" s="82">
        <v>157.9</v>
      </c>
      <c r="N539" s="82">
        <v>0</v>
      </c>
      <c r="O539" s="82">
        <f t="shared" si="187"/>
        <v>157.9</v>
      </c>
      <c r="P539" s="83">
        <f t="shared" si="181"/>
        <v>5392285</v>
      </c>
      <c r="Q539" s="81">
        <f t="shared" si="182"/>
        <v>2084165.604608</v>
      </c>
      <c r="R539" s="81">
        <f t="shared" si="183"/>
        <v>973029.7398225</v>
      </c>
      <c r="S539" s="81">
        <f t="shared" si="188"/>
        <v>2335089.6555695</v>
      </c>
      <c r="T539" s="84">
        <v>0</v>
      </c>
    </row>
    <row r="540" spans="1:20" ht="31.5">
      <c r="A540" s="54">
        <f t="shared" si="184"/>
        <v>59</v>
      </c>
      <c r="B540" s="99" t="s">
        <v>31</v>
      </c>
      <c r="C540" s="74" t="s">
        <v>583</v>
      </c>
      <c r="D540" s="79">
        <v>38042</v>
      </c>
      <c r="E540" s="130" t="s">
        <v>525</v>
      </c>
      <c r="F540" s="130" t="s">
        <v>525</v>
      </c>
      <c r="G540" s="74">
        <v>7</v>
      </c>
      <c r="H540" s="74">
        <f t="shared" si="185"/>
        <v>7</v>
      </c>
      <c r="I540" s="82">
        <v>97.7</v>
      </c>
      <c r="J540" s="74">
        <v>4</v>
      </c>
      <c r="K540" s="74">
        <v>2</v>
      </c>
      <c r="L540" s="74">
        <f t="shared" si="186"/>
        <v>2</v>
      </c>
      <c r="M540" s="82">
        <v>97.7</v>
      </c>
      <c r="N540" s="82">
        <v>35.3</v>
      </c>
      <c r="O540" s="82">
        <f t="shared" si="187"/>
        <v>62.400000000000006</v>
      </c>
      <c r="P540" s="83">
        <f t="shared" si="181"/>
        <v>3336455</v>
      </c>
      <c r="Q540" s="81">
        <f t="shared" si="182"/>
        <v>1289569.2183039999</v>
      </c>
      <c r="R540" s="81">
        <f t="shared" si="183"/>
        <v>602058.3000675001</v>
      </c>
      <c r="S540" s="81">
        <f t="shared" si="188"/>
        <v>1444827.4816285</v>
      </c>
      <c r="T540" s="84">
        <v>0</v>
      </c>
    </row>
    <row r="541" spans="1:20" ht="31.5">
      <c r="A541" s="54">
        <f t="shared" si="184"/>
        <v>60</v>
      </c>
      <c r="B541" s="99" t="s">
        <v>32</v>
      </c>
      <c r="C541" s="74" t="s">
        <v>583</v>
      </c>
      <c r="D541" s="79">
        <v>38042</v>
      </c>
      <c r="E541" s="130" t="s">
        <v>525</v>
      </c>
      <c r="F541" s="130" t="s">
        <v>525</v>
      </c>
      <c r="G541" s="74">
        <v>5</v>
      </c>
      <c r="H541" s="74">
        <f t="shared" si="185"/>
        <v>5</v>
      </c>
      <c r="I541" s="82">
        <v>82.8</v>
      </c>
      <c r="J541" s="74">
        <v>2</v>
      </c>
      <c r="K541" s="74">
        <v>2</v>
      </c>
      <c r="L541" s="74">
        <f t="shared" si="186"/>
        <v>0</v>
      </c>
      <c r="M541" s="82">
        <v>55.2</v>
      </c>
      <c r="N541" s="82">
        <f>27.3+27.9</f>
        <v>55.2</v>
      </c>
      <c r="O541" s="82">
        <f t="shared" si="187"/>
        <v>0</v>
      </c>
      <c r="P541" s="83">
        <f t="shared" si="181"/>
        <v>1885080</v>
      </c>
      <c r="Q541" s="81">
        <f t="shared" si="182"/>
        <v>728600.0087039999</v>
      </c>
      <c r="R541" s="81">
        <f t="shared" si="183"/>
        <v>340159.85838000005</v>
      </c>
      <c r="S541" s="81">
        <f t="shared" si="188"/>
        <v>816320.132916</v>
      </c>
      <c r="T541" s="84">
        <v>0</v>
      </c>
    </row>
    <row r="542" spans="1:20" ht="31.5">
      <c r="A542" s="54">
        <f t="shared" si="184"/>
        <v>61</v>
      </c>
      <c r="B542" s="99" t="s">
        <v>33</v>
      </c>
      <c r="C542" s="74" t="s">
        <v>583</v>
      </c>
      <c r="D542" s="79">
        <v>38042</v>
      </c>
      <c r="E542" s="130" t="s">
        <v>525</v>
      </c>
      <c r="F542" s="130" t="s">
        <v>525</v>
      </c>
      <c r="G542" s="74">
        <v>5</v>
      </c>
      <c r="H542" s="74">
        <f t="shared" si="185"/>
        <v>5</v>
      </c>
      <c r="I542" s="82">
        <v>67.8</v>
      </c>
      <c r="J542" s="74">
        <v>3</v>
      </c>
      <c r="K542" s="74">
        <v>1</v>
      </c>
      <c r="L542" s="74">
        <f t="shared" si="186"/>
        <v>2</v>
      </c>
      <c r="M542" s="82">
        <v>67.8</v>
      </c>
      <c r="N542" s="82">
        <v>21.6</v>
      </c>
      <c r="O542" s="82">
        <f t="shared" si="187"/>
        <v>46.199999999999996</v>
      </c>
      <c r="P542" s="83">
        <f t="shared" si="181"/>
        <v>2315370</v>
      </c>
      <c r="Q542" s="81">
        <f t="shared" si="182"/>
        <v>894910.880256</v>
      </c>
      <c r="R542" s="81">
        <f t="shared" si="183"/>
        <v>417805.043445</v>
      </c>
      <c r="S542" s="81">
        <f t="shared" si="188"/>
        <v>1002654.0762990001</v>
      </c>
      <c r="T542" s="84">
        <v>0</v>
      </c>
    </row>
    <row r="543" spans="1:20" ht="31.5">
      <c r="A543" s="54">
        <f t="shared" si="184"/>
        <v>62</v>
      </c>
      <c r="B543" s="99" t="s">
        <v>34</v>
      </c>
      <c r="C543" s="74" t="s">
        <v>583</v>
      </c>
      <c r="D543" s="79">
        <v>38042</v>
      </c>
      <c r="E543" s="130" t="s">
        <v>525</v>
      </c>
      <c r="F543" s="130" t="s">
        <v>525</v>
      </c>
      <c r="G543" s="74">
        <v>4</v>
      </c>
      <c r="H543" s="74">
        <f t="shared" si="185"/>
        <v>4</v>
      </c>
      <c r="I543" s="82">
        <v>116.2</v>
      </c>
      <c r="J543" s="74">
        <v>3</v>
      </c>
      <c r="K543" s="74">
        <v>0</v>
      </c>
      <c r="L543" s="74">
        <f t="shared" si="186"/>
        <v>3</v>
      </c>
      <c r="M543" s="82">
        <v>116.2</v>
      </c>
      <c r="N543" s="82">
        <v>0</v>
      </c>
      <c r="O543" s="82">
        <f t="shared" si="187"/>
        <v>116.2</v>
      </c>
      <c r="P543" s="83">
        <f t="shared" si="181"/>
        <v>3968230</v>
      </c>
      <c r="Q543" s="81">
        <f t="shared" si="182"/>
        <v>1533755.815424</v>
      </c>
      <c r="R543" s="81">
        <f t="shared" si="183"/>
        <v>716061.1511550001</v>
      </c>
      <c r="S543" s="81">
        <f t="shared" si="188"/>
        <v>1718413.033421</v>
      </c>
      <c r="T543" s="84">
        <v>0</v>
      </c>
    </row>
    <row r="544" spans="1:20" ht="31.5">
      <c r="A544" s="54">
        <f t="shared" si="184"/>
        <v>63</v>
      </c>
      <c r="B544" s="99" t="s">
        <v>35</v>
      </c>
      <c r="C544" s="74" t="s">
        <v>583</v>
      </c>
      <c r="D544" s="79">
        <v>38047</v>
      </c>
      <c r="E544" s="130" t="s">
        <v>525</v>
      </c>
      <c r="F544" s="130" t="s">
        <v>525</v>
      </c>
      <c r="G544" s="74">
        <v>5</v>
      </c>
      <c r="H544" s="74">
        <f t="shared" si="185"/>
        <v>5</v>
      </c>
      <c r="I544" s="82">
        <v>62.5</v>
      </c>
      <c r="J544" s="74">
        <v>2</v>
      </c>
      <c r="K544" s="74">
        <v>0</v>
      </c>
      <c r="L544" s="74">
        <f t="shared" si="186"/>
        <v>2</v>
      </c>
      <c r="M544" s="82">
        <f>62.5</f>
        <v>62.5</v>
      </c>
      <c r="N544" s="82">
        <v>0</v>
      </c>
      <c r="O544" s="82">
        <f t="shared" si="187"/>
        <v>62.5</v>
      </c>
      <c r="P544" s="83">
        <f t="shared" si="181"/>
        <v>2134375</v>
      </c>
      <c r="Q544" s="81">
        <f t="shared" si="182"/>
        <v>824954.72</v>
      </c>
      <c r="R544" s="81">
        <f t="shared" si="183"/>
        <v>385144.7671875</v>
      </c>
      <c r="S544" s="81">
        <f t="shared" si="188"/>
        <v>924275.5128125</v>
      </c>
      <c r="T544" s="84">
        <v>0</v>
      </c>
    </row>
    <row r="545" spans="1:20" ht="31.5">
      <c r="A545" s="54">
        <f t="shared" si="184"/>
        <v>64</v>
      </c>
      <c r="B545" s="99" t="s">
        <v>36</v>
      </c>
      <c r="C545" s="74" t="s">
        <v>583</v>
      </c>
      <c r="D545" s="79">
        <v>38047</v>
      </c>
      <c r="E545" s="130" t="s">
        <v>525</v>
      </c>
      <c r="F545" s="130" t="s">
        <v>525</v>
      </c>
      <c r="G545" s="74">
        <v>9</v>
      </c>
      <c r="H545" s="74">
        <f t="shared" si="185"/>
        <v>9</v>
      </c>
      <c r="I545" s="82">
        <v>67</v>
      </c>
      <c r="J545" s="74">
        <v>2</v>
      </c>
      <c r="K545" s="74">
        <v>0</v>
      </c>
      <c r="L545" s="74">
        <f t="shared" si="186"/>
        <v>2</v>
      </c>
      <c r="M545" s="82">
        <v>67</v>
      </c>
      <c r="N545" s="82">
        <v>0</v>
      </c>
      <c r="O545" s="82">
        <f t="shared" si="187"/>
        <v>67</v>
      </c>
      <c r="P545" s="83">
        <f t="shared" si="181"/>
        <v>2288050</v>
      </c>
      <c r="Q545" s="81">
        <f t="shared" si="182"/>
        <v>884351.45984</v>
      </c>
      <c r="R545" s="81">
        <f t="shared" si="183"/>
        <v>412875.19042500004</v>
      </c>
      <c r="S545" s="81">
        <f t="shared" si="188"/>
        <v>990823.3497349998</v>
      </c>
      <c r="T545" s="84">
        <v>0</v>
      </c>
    </row>
    <row r="546" spans="1:20" ht="31.5">
      <c r="A546" s="54">
        <f t="shared" si="184"/>
        <v>65</v>
      </c>
      <c r="B546" s="99" t="s">
        <v>37</v>
      </c>
      <c r="C546" s="74" t="s">
        <v>583</v>
      </c>
      <c r="D546" s="79">
        <v>38047</v>
      </c>
      <c r="E546" s="130" t="s">
        <v>525</v>
      </c>
      <c r="F546" s="130" t="s">
        <v>525</v>
      </c>
      <c r="G546" s="74">
        <v>4</v>
      </c>
      <c r="H546" s="74">
        <f t="shared" si="185"/>
        <v>4</v>
      </c>
      <c r="I546" s="82">
        <v>31.8</v>
      </c>
      <c r="J546" s="74">
        <v>1</v>
      </c>
      <c r="K546" s="74">
        <v>0</v>
      </c>
      <c r="L546" s="74">
        <f t="shared" si="186"/>
        <v>1</v>
      </c>
      <c r="M546" s="82">
        <v>32.4</v>
      </c>
      <c r="N546" s="82">
        <v>0</v>
      </c>
      <c r="O546" s="82">
        <f t="shared" si="187"/>
        <v>32.4</v>
      </c>
      <c r="P546" s="83">
        <f t="shared" si="181"/>
        <v>1106460</v>
      </c>
      <c r="Q546" s="81">
        <f t="shared" si="182"/>
        <v>427656.526848</v>
      </c>
      <c r="R546" s="81">
        <f t="shared" si="183"/>
        <v>199659.04731000002</v>
      </c>
      <c r="S546" s="81">
        <f t="shared" si="188"/>
        <v>479144.42584199994</v>
      </c>
      <c r="T546" s="84">
        <v>0</v>
      </c>
    </row>
    <row r="547" spans="1:20" ht="31.5">
      <c r="A547" s="54">
        <f t="shared" si="184"/>
        <v>66</v>
      </c>
      <c r="B547" s="99" t="s">
        <v>38</v>
      </c>
      <c r="C547" s="74" t="s">
        <v>583</v>
      </c>
      <c r="D547" s="79">
        <v>38042</v>
      </c>
      <c r="E547" s="130" t="s">
        <v>525</v>
      </c>
      <c r="F547" s="130" t="s">
        <v>525</v>
      </c>
      <c r="G547" s="74">
        <v>6</v>
      </c>
      <c r="H547" s="74">
        <f t="shared" si="185"/>
        <v>6</v>
      </c>
      <c r="I547" s="82">
        <v>47.6</v>
      </c>
      <c r="J547" s="74">
        <v>2</v>
      </c>
      <c r="K547" s="74">
        <v>0</v>
      </c>
      <c r="L547" s="74">
        <f t="shared" si="186"/>
        <v>2</v>
      </c>
      <c r="M547" s="82">
        <f>22+25.6</f>
        <v>47.6</v>
      </c>
      <c r="N547" s="82">
        <v>0</v>
      </c>
      <c r="O547" s="82">
        <f t="shared" si="187"/>
        <v>47.6</v>
      </c>
      <c r="P547" s="83">
        <f t="shared" si="181"/>
        <v>1625540</v>
      </c>
      <c r="Q547" s="81">
        <f t="shared" si="182"/>
        <v>628285.514752</v>
      </c>
      <c r="R547" s="81">
        <f t="shared" si="183"/>
        <v>293326.25469000003</v>
      </c>
      <c r="S547" s="81">
        <f t="shared" si="188"/>
        <v>703928.230558</v>
      </c>
      <c r="T547" s="84">
        <v>0</v>
      </c>
    </row>
    <row r="548" spans="1:20" ht="31.5">
      <c r="A548" s="54">
        <f t="shared" si="184"/>
        <v>67</v>
      </c>
      <c r="B548" s="99" t="s">
        <v>39</v>
      </c>
      <c r="C548" s="74" t="s">
        <v>583</v>
      </c>
      <c r="D548" s="79">
        <v>38042</v>
      </c>
      <c r="E548" s="130" t="s">
        <v>525</v>
      </c>
      <c r="F548" s="130" t="s">
        <v>525</v>
      </c>
      <c r="G548" s="74">
        <f>4</f>
        <v>4</v>
      </c>
      <c r="H548" s="74">
        <f t="shared" si="185"/>
        <v>4</v>
      </c>
      <c r="I548" s="82">
        <v>39.9</v>
      </c>
      <c r="J548" s="74">
        <v>1</v>
      </c>
      <c r="K548" s="74">
        <v>0</v>
      </c>
      <c r="L548" s="74">
        <f t="shared" si="186"/>
        <v>1</v>
      </c>
      <c r="M548" s="82">
        <v>39.8</v>
      </c>
      <c r="N548" s="82">
        <v>0</v>
      </c>
      <c r="O548" s="82">
        <f t="shared" si="187"/>
        <v>39.8</v>
      </c>
      <c r="P548" s="83">
        <f t="shared" si="181"/>
        <v>1359170</v>
      </c>
      <c r="Q548" s="81">
        <f t="shared" si="182"/>
        <v>525331.165696</v>
      </c>
      <c r="R548" s="81">
        <f t="shared" si="183"/>
        <v>245260.187745</v>
      </c>
      <c r="S548" s="81">
        <f t="shared" si="188"/>
        <v>588578.646559</v>
      </c>
      <c r="T548" s="84">
        <v>0</v>
      </c>
    </row>
    <row r="549" spans="1:20" ht="31.5">
      <c r="A549" s="54">
        <f t="shared" si="184"/>
        <v>68</v>
      </c>
      <c r="B549" s="99" t="s">
        <v>40</v>
      </c>
      <c r="C549" s="74" t="s">
        <v>583</v>
      </c>
      <c r="D549" s="79">
        <v>38042</v>
      </c>
      <c r="E549" s="130" t="s">
        <v>525</v>
      </c>
      <c r="F549" s="130" t="s">
        <v>525</v>
      </c>
      <c r="G549" s="74">
        <f>3</f>
        <v>3</v>
      </c>
      <c r="H549" s="74">
        <f t="shared" si="185"/>
        <v>3</v>
      </c>
      <c r="I549" s="82">
        <v>38.3</v>
      </c>
      <c r="J549" s="74">
        <v>1</v>
      </c>
      <c r="K549" s="74">
        <v>1</v>
      </c>
      <c r="L549" s="74">
        <f t="shared" si="186"/>
        <v>0</v>
      </c>
      <c r="M549" s="82">
        <v>37.8</v>
      </c>
      <c r="N549" s="82">
        <f>37.8</f>
        <v>37.8</v>
      </c>
      <c r="O549" s="82">
        <f t="shared" si="187"/>
        <v>0</v>
      </c>
      <c r="P549" s="83">
        <f t="shared" si="181"/>
        <v>1290870</v>
      </c>
      <c r="Q549" s="81">
        <f t="shared" si="182"/>
        <v>498932.614656</v>
      </c>
      <c r="R549" s="81">
        <f t="shared" si="183"/>
        <v>232935.55519500002</v>
      </c>
      <c r="S549" s="81">
        <f t="shared" si="188"/>
        <v>559001.830149</v>
      </c>
      <c r="T549" s="84">
        <v>0</v>
      </c>
    </row>
    <row r="550" spans="1:20" ht="31.5">
      <c r="A550" s="54">
        <f t="shared" si="184"/>
        <v>69</v>
      </c>
      <c r="B550" s="99" t="s">
        <v>41</v>
      </c>
      <c r="C550" s="74" t="s">
        <v>583</v>
      </c>
      <c r="D550" s="79">
        <v>38042</v>
      </c>
      <c r="E550" s="130" t="s">
        <v>525</v>
      </c>
      <c r="F550" s="130" t="s">
        <v>525</v>
      </c>
      <c r="G550" s="74">
        <f>1+2</f>
        <v>3</v>
      </c>
      <c r="H550" s="74">
        <f t="shared" si="185"/>
        <v>3</v>
      </c>
      <c r="I550" s="82">
        <v>43</v>
      </c>
      <c r="J550" s="74">
        <v>2</v>
      </c>
      <c r="K550" s="74">
        <v>0</v>
      </c>
      <c r="L550" s="74">
        <f t="shared" si="186"/>
        <v>2</v>
      </c>
      <c r="M550" s="82">
        <v>43</v>
      </c>
      <c r="N550" s="82">
        <v>0</v>
      </c>
      <c r="O550" s="82">
        <f t="shared" si="187"/>
        <v>43</v>
      </c>
      <c r="P550" s="83">
        <f t="shared" si="181"/>
        <v>1468450</v>
      </c>
      <c r="Q550" s="81">
        <f t="shared" si="182"/>
        <v>567568.84736</v>
      </c>
      <c r="R550" s="81">
        <f t="shared" si="183"/>
        <v>264979.59982500004</v>
      </c>
      <c r="S550" s="81">
        <f t="shared" si="188"/>
        <v>635901.552815</v>
      </c>
      <c r="T550" s="84">
        <v>0</v>
      </c>
    </row>
    <row r="551" spans="1:20" ht="31.5">
      <c r="A551" s="54">
        <f t="shared" si="184"/>
        <v>70</v>
      </c>
      <c r="B551" s="99" t="s">
        <v>42</v>
      </c>
      <c r="C551" s="74" t="s">
        <v>583</v>
      </c>
      <c r="D551" s="79">
        <v>38039</v>
      </c>
      <c r="E551" s="130" t="s">
        <v>525</v>
      </c>
      <c r="F551" s="130" t="s">
        <v>525</v>
      </c>
      <c r="G551" s="74">
        <v>5</v>
      </c>
      <c r="H551" s="74">
        <f t="shared" si="185"/>
        <v>5</v>
      </c>
      <c r="I551" s="82">
        <v>93.9</v>
      </c>
      <c r="J551" s="74">
        <v>2</v>
      </c>
      <c r="K551" s="74">
        <v>2</v>
      </c>
      <c r="L551" s="74">
        <f t="shared" si="186"/>
        <v>0</v>
      </c>
      <c r="M551" s="82">
        <v>93.9</v>
      </c>
      <c r="N551" s="82">
        <f>61.2</f>
        <v>61.2</v>
      </c>
      <c r="O551" s="82">
        <f t="shared" si="187"/>
        <v>32.7</v>
      </c>
      <c r="P551" s="83">
        <f t="shared" si="181"/>
        <v>3206685</v>
      </c>
      <c r="Q551" s="81">
        <f t="shared" si="182"/>
        <v>1239411.9713279998</v>
      </c>
      <c r="R551" s="81">
        <f t="shared" si="183"/>
        <v>578641.4982225001</v>
      </c>
      <c r="S551" s="81">
        <f t="shared" si="188"/>
        <v>1388631.5304495</v>
      </c>
      <c r="T551" s="84">
        <v>0</v>
      </c>
    </row>
    <row r="552" spans="1:20" ht="31.5">
      <c r="A552" s="54">
        <f t="shared" si="184"/>
        <v>71</v>
      </c>
      <c r="B552" s="99" t="s">
        <v>43</v>
      </c>
      <c r="C552" s="74" t="s">
        <v>583</v>
      </c>
      <c r="D552" s="79">
        <v>38042</v>
      </c>
      <c r="E552" s="130" t="s">
        <v>525</v>
      </c>
      <c r="F552" s="130" t="s">
        <v>525</v>
      </c>
      <c r="G552" s="74">
        <v>4</v>
      </c>
      <c r="H552" s="74">
        <f t="shared" si="185"/>
        <v>4</v>
      </c>
      <c r="I552" s="82">
        <v>101.7</v>
      </c>
      <c r="J552" s="74">
        <v>3</v>
      </c>
      <c r="K552" s="74">
        <v>2</v>
      </c>
      <c r="L552" s="74">
        <f t="shared" si="186"/>
        <v>1</v>
      </c>
      <c r="M552" s="82">
        <v>101.7</v>
      </c>
      <c r="N552" s="82">
        <f>41.7+29.3</f>
        <v>71</v>
      </c>
      <c r="O552" s="82">
        <f t="shared" si="187"/>
        <v>30.700000000000003</v>
      </c>
      <c r="P552" s="83">
        <f t="shared" si="181"/>
        <v>3473055</v>
      </c>
      <c r="Q552" s="81">
        <f>M552*34150*38.65088%+1.48</f>
        <v>1342367.800384</v>
      </c>
      <c r="R552" s="81">
        <f>M552*34150*18.04485%-0.49</f>
        <v>626707.0751675001</v>
      </c>
      <c r="S552" s="81">
        <f t="shared" si="188"/>
        <v>1503980.1244485</v>
      </c>
      <c r="T552" s="84">
        <v>0</v>
      </c>
    </row>
    <row r="553" spans="1:20" ht="15.75">
      <c r="A553" s="148" t="s">
        <v>141</v>
      </c>
      <c r="B553" s="148"/>
      <c r="C553" s="58"/>
      <c r="D553" s="58"/>
      <c r="E553" s="58"/>
      <c r="F553" s="58"/>
      <c r="G553" s="58">
        <f>SUM(G554:G565)</f>
        <v>114</v>
      </c>
      <c r="H553" s="58">
        <f aca="true" t="shared" si="189" ref="H553:T553">SUM(H554:H565)</f>
        <v>114</v>
      </c>
      <c r="I553" s="59">
        <f t="shared" si="189"/>
        <v>1807.8000000000002</v>
      </c>
      <c r="J553" s="58">
        <f t="shared" si="189"/>
        <v>50</v>
      </c>
      <c r="K553" s="58">
        <f t="shared" si="189"/>
        <v>15</v>
      </c>
      <c r="L553" s="58">
        <f t="shared" si="189"/>
        <v>35</v>
      </c>
      <c r="M553" s="59">
        <f t="shared" si="189"/>
        <v>1734.2000000000003</v>
      </c>
      <c r="N553" s="59">
        <f t="shared" si="189"/>
        <v>493</v>
      </c>
      <c r="O553" s="59">
        <f t="shared" si="189"/>
        <v>1241.2000000000003</v>
      </c>
      <c r="P553" s="65">
        <f t="shared" si="189"/>
        <v>59222930</v>
      </c>
      <c r="Q553" s="65">
        <f t="shared" si="189"/>
        <v>28286099.999799028</v>
      </c>
      <c r="R553" s="65">
        <f t="shared" si="189"/>
        <v>25060699.999658518</v>
      </c>
      <c r="S553" s="65">
        <f t="shared" si="189"/>
        <v>5876130.000542456</v>
      </c>
      <c r="T553" s="65">
        <f t="shared" si="189"/>
        <v>0</v>
      </c>
    </row>
    <row r="554" spans="1:20" ht="31.5">
      <c r="A554" s="43">
        <v>72</v>
      </c>
      <c r="B554" s="57" t="s">
        <v>44</v>
      </c>
      <c r="C554" s="71">
        <v>46</v>
      </c>
      <c r="D554" s="72">
        <v>40828</v>
      </c>
      <c r="E554" s="130" t="s">
        <v>525</v>
      </c>
      <c r="F554" s="130" t="s">
        <v>525</v>
      </c>
      <c r="G554" s="58">
        <v>5</v>
      </c>
      <c r="H554" s="58">
        <v>5</v>
      </c>
      <c r="I554" s="59">
        <v>136.6</v>
      </c>
      <c r="J554" s="71">
        <v>3</v>
      </c>
      <c r="K554" s="71">
        <v>2</v>
      </c>
      <c r="L554" s="71">
        <v>1</v>
      </c>
      <c r="M554" s="59">
        <v>136.6</v>
      </c>
      <c r="N554" s="59">
        <v>98.3</v>
      </c>
      <c r="O554" s="73">
        <v>38.3</v>
      </c>
      <c r="P554" s="65">
        <f>M554*34150</f>
        <v>4664890</v>
      </c>
      <c r="Q554" s="83">
        <f>P554*0.47762074588</f>
        <v>2228048.241248153</v>
      </c>
      <c r="R554" s="83">
        <f>P554*0.4231587326</f>
        <v>1973988.940118414</v>
      </c>
      <c r="S554" s="83">
        <f>P554-Q554-R554</f>
        <v>462852.81863343297</v>
      </c>
      <c r="T554" s="83">
        <v>0</v>
      </c>
    </row>
    <row r="555" spans="1:20" ht="31.5">
      <c r="A555" s="43">
        <f>A554+1</f>
        <v>73</v>
      </c>
      <c r="B555" s="57" t="s">
        <v>45</v>
      </c>
      <c r="C555" s="71">
        <v>39</v>
      </c>
      <c r="D555" s="72">
        <v>40828</v>
      </c>
      <c r="E555" s="130" t="s">
        <v>525</v>
      </c>
      <c r="F555" s="130" t="s">
        <v>525</v>
      </c>
      <c r="G555" s="58">
        <v>9</v>
      </c>
      <c r="H555" s="58">
        <v>9</v>
      </c>
      <c r="I555" s="59">
        <v>92.7</v>
      </c>
      <c r="J555" s="71">
        <v>4</v>
      </c>
      <c r="K555" s="71">
        <v>1</v>
      </c>
      <c r="L555" s="71">
        <v>3</v>
      </c>
      <c r="M555" s="59">
        <v>92.7</v>
      </c>
      <c r="N555" s="59">
        <v>28.4</v>
      </c>
      <c r="O555" s="73">
        <v>64.3</v>
      </c>
      <c r="P555" s="65">
        <f aca="true" t="shared" si="190" ref="P555:P565">M555*34150</f>
        <v>3165705</v>
      </c>
      <c r="Q555" s="83">
        <f aca="true" t="shared" si="191" ref="Q555:Q565">P555*0.47762074588</f>
        <v>1512006.3833360453</v>
      </c>
      <c r="R555" s="83">
        <f aca="true" t="shared" si="192" ref="R555:R565">P555*0.4231587326</f>
        <v>1339595.715585483</v>
      </c>
      <c r="S555" s="83">
        <f aca="true" t="shared" si="193" ref="S555:S565">P555-Q555-R555</f>
        <v>314102.9010784717</v>
      </c>
      <c r="T555" s="83">
        <v>0</v>
      </c>
    </row>
    <row r="556" spans="1:20" ht="31.5">
      <c r="A556" s="43">
        <f aca="true" t="shared" si="194" ref="A556:A565">A555+1</f>
        <v>74</v>
      </c>
      <c r="B556" s="57" t="s">
        <v>46</v>
      </c>
      <c r="C556" s="71">
        <v>38</v>
      </c>
      <c r="D556" s="72">
        <v>40828</v>
      </c>
      <c r="E556" s="130" t="s">
        <v>525</v>
      </c>
      <c r="F556" s="130" t="s">
        <v>525</v>
      </c>
      <c r="G556" s="58">
        <v>9</v>
      </c>
      <c r="H556" s="58">
        <v>9</v>
      </c>
      <c r="I556" s="59">
        <v>83.4</v>
      </c>
      <c r="J556" s="71">
        <v>4</v>
      </c>
      <c r="K556" s="71">
        <v>2</v>
      </c>
      <c r="L556" s="71">
        <v>2</v>
      </c>
      <c r="M556" s="59">
        <v>83.4</v>
      </c>
      <c r="N556" s="59">
        <v>48.7</v>
      </c>
      <c r="O556" s="73">
        <v>34.7</v>
      </c>
      <c r="P556" s="65">
        <f t="shared" si="190"/>
        <v>2848110</v>
      </c>
      <c r="Q556" s="83">
        <f t="shared" si="191"/>
        <v>1360316.4225482866</v>
      </c>
      <c r="R556" s="83">
        <f t="shared" si="192"/>
        <v>1205202.617905386</v>
      </c>
      <c r="S556" s="83">
        <f t="shared" si="193"/>
        <v>282590.95954632736</v>
      </c>
      <c r="T556" s="83">
        <v>0</v>
      </c>
    </row>
    <row r="557" spans="1:20" ht="47.25">
      <c r="A557" s="43">
        <f t="shared" si="194"/>
        <v>75</v>
      </c>
      <c r="B557" s="57" t="s">
        <v>47</v>
      </c>
      <c r="C557" s="71">
        <v>45</v>
      </c>
      <c r="D557" s="72">
        <v>40828</v>
      </c>
      <c r="E557" s="130" t="s">
        <v>525</v>
      </c>
      <c r="F557" s="130" t="s">
        <v>525</v>
      </c>
      <c r="G557" s="58">
        <v>7</v>
      </c>
      <c r="H557" s="58">
        <v>7</v>
      </c>
      <c r="I557" s="59">
        <v>89.1</v>
      </c>
      <c r="J557" s="71">
        <v>3</v>
      </c>
      <c r="K557" s="71">
        <v>0</v>
      </c>
      <c r="L557" s="71">
        <v>3</v>
      </c>
      <c r="M557" s="59">
        <v>89.1</v>
      </c>
      <c r="N557" s="59">
        <v>0</v>
      </c>
      <c r="O557" s="73">
        <v>89.1</v>
      </c>
      <c r="P557" s="65">
        <f t="shared" si="190"/>
        <v>3042765</v>
      </c>
      <c r="Q557" s="83">
        <f t="shared" si="191"/>
        <v>1453287.688837558</v>
      </c>
      <c r="R557" s="83">
        <f t="shared" si="192"/>
        <v>1287572.580999639</v>
      </c>
      <c r="S557" s="83">
        <f t="shared" si="193"/>
        <v>301904.7301628031</v>
      </c>
      <c r="T557" s="83">
        <v>0</v>
      </c>
    </row>
    <row r="558" spans="1:20" ht="31.5">
      <c r="A558" s="43">
        <f t="shared" si="194"/>
        <v>76</v>
      </c>
      <c r="B558" s="57" t="s">
        <v>48</v>
      </c>
      <c r="C558" s="71">
        <v>40</v>
      </c>
      <c r="D558" s="72">
        <v>40828</v>
      </c>
      <c r="E558" s="130" t="s">
        <v>525</v>
      </c>
      <c r="F558" s="130" t="s">
        <v>525</v>
      </c>
      <c r="G558" s="58">
        <v>6</v>
      </c>
      <c r="H558" s="58">
        <v>6</v>
      </c>
      <c r="I558" s="59">
        <v>69.3</v>
      </c>
      <c r="J558" s="71">
        <v>3</v>
      </c>
      <c r="K558" s="71">
        <v>1</v>
      </c>
      <c r="L558" s="71">
        <v>2</v>
      </c>
      <c r="M558" s="59">
        <v>69.3</v>
      </c>
      <c r="N558" s="59">
        <v>25.1</v>
      </c>
      <c r="O558" s="73">
        <v>44.2</v>
      </c>
      <c r="P558" s="65">
        <f t="shared" si="190"/>
        <v>2366595</v>
      </c>
      <c r="Q558" s="83">
        <f t="shared" si="191"/>
        <v>1130334.8690958784</v>
      </c>
      <c r="R558" s="83">
        <f t="shared" si="192"/>
        <v>1001445.3407774969</v>
      </c>
      <c r="S558" s="83">
        <f t="shared" si="193"/>
        <v>234814.79012662463</v>
      </c>
      <c r="T558" s="83">
        <v>0</v>
      </c>
    </row>
    <row r="559" spans="1:20" ht="31.5">
      <c r="A559" s="43">
        <f t="shared" si="194"/>
        <v>77</v>
      </c>
      <c r="B559" s="57" t="s">
        <v>49</v>
      </c>
      <c r="C559" s="71">
        <v>42</v>
      </c>
      <c r="D559" s="72">
        <v>40828</v>
      </c>
      <c r="E559" s="130" t="s">
        <v>525</v>
      </c>
      <c r="F559" s="130" t="s">
        <v>525</v>
      </c>
      <c r="G559" s="58">
        <v>4</v>
      </c>
      <c r="H559" s="58">
        <v>4</v>
      </c>
      <c r="I559" s="59">
        <v>70.1</v>
      </c>
      <c r="J559" s="71">
        <v>2</v>
      </c>
      <c r="K559" s="71">
        <v>1</v>
      </c>
      <c r="L559" s="71">
        <v>1</v>
      </c>
      <c r="M559" s="59">
        <v>70.1</v>
      </c>
      <c r="N559" s="59">
        <v>30.3</v>
      </c>
      <c r="O559" s="73">
        <v>39.8</v>
      </c>
      <c r="P559" s="65">
        <f t="shared" si="190"/>
        <v>2393915</v>
      </c>
      <c r="Q559" s="83">
        <f t="shared" si="191"/>
        <v>1143383.4678733202</v>
      </c>
      <c r="R559" s="83">
        <f t="shared" si="192"/>
        <v>1013006.0373521289</v>
      </c>
      <c r="S559" s="83">
        <f t="shared" si="193"/>
        <v>237525.4947745509</v>
      </c>
      <c r="T559" s="83">
        <v>0</v>
      </c>
    </row>
    <row r="560" spans="1:20" ht="47.25">
      <c r="A560" s="43">
        <f t="shared" si="194"/>
        <v>78</v>
      </c>
      <c r="B560" s="57" t="s">
        <v>50</v>
      </c>
      <c r="C560" s="71">
        <v>43</v>
      </c>
      <c r="D560" s="72">
        <v>40828</v>
      </c>
      <c r="E560" s="130" t="s">
        <v>525</v>
      </c>
      <c r="F560" s="130" t="s">
        <v>525</v>
      </c>
      <c r="G560" s="58">
        <v>3</v>
      </c>
      <c r="H560" s="58">
        <v>3</v>
      </c>
      <c r="I560" s="59">
        <v>53.7</v>
      </c>
      <c r="J560" s="71">
        <v>2</v>
      </c>
      <c r="K560" s="71">
        <v>0</v>
      </c>
      <c r="L560" s="71">
        <v>2</v>
      </c>
      <c r="M560" s="59">
        <v>53.7</v>
      </c>
      <c r="N560" s="59">
        <v>0</v>
      </c>
      <c r="O560" s="73">
        <v>53.7</v>
      </c>
      <c r="P560" s="65">
        <f t="shared" si="190"/>
        <v>1833855</v>
      </c>
      <c r="Q560" s="83">
        <f t="shared" si="191"/>
        <v>875887.1929357674</v>
      </c>
      <c r="R560" s="83">
        <f t="shared" si="192"/>
        <v>776011.7575721729</v>
      </c>
      <c r="S560" s="83">
        <f t="shared" si="193"/>
        <v>181956.04949205974</v>
      </c>
      <c r="T560" s="83">
        <v>0</v>
      </c>
    </row>
    <row r="561" spans="1:20" ht="31.5">
      <c r="A561" s="43">
        <f t="shared" si="194"/>
        <v>79</v>
      </c>
      <c r="B561" s="57" t="s">
        <v>51</v>
      </c>
      <c r="C561" s="71">
        <v>44</v>
      </c>
      <c r="D561" s="72">
        <v>40828</v>
      </c>
      <c r="E561" s="130" t="s">
        <v>525</v>
      </c>
      <c r="F561" s="130" t="s">
        <v>525</v>
      </c>
      <c r="G561" s="58">
        <v>16</v>
      </c>
      <c r="H561" s="58">
        <v>16</v>
      </c>
      <c r="I561" s="59">
        <v>406.5</v>
      </c>
      <c r="J561" s="71">
        <v>8</v>
      </c>
      <c r="K561" s="71">
        <v>1</v>
      </c>
      <c r="L561" s="71">
        <v>7</v>
      </c>
      <c r="M561" s="59">
        <v>406.5</v>
      </c>
      <c r="N561" s="59">
        <v>54.4</v>
      </c>
      <c r="O561" s="73">
        <v>352.1</v>
      </c>
      <c r="P561" s="65">
        <f t="shared" si="190"/>
        <v>13881975</v>
      </c>
      <c r="Q561" s="83">
        <f t="shared" si="191"/>
        <v>6630319.253787513</v>
      </c>
      <c r="R561" s="83">
        <f t="shared" si="192"/>
        <v>5874278.946984884</v>
      </c>
      <c r="S561" s="83">
        <f t="shared" si="193"/>
        <v>1377376.7992276028</v>
      </c>
      <c r="T561" s="83">
        <v>0</v>
      </c>
    </row>
    <row r="562" spans="1:20" ht="31.5">
      <c r="A562" s="43">
        <f t="shared" si="194"/>
        <v>80</v>
      </c>
      <c r="B562" s="57" t="s">
        <v>52</v>
      </c>
      <c r="C562" s="71">
        <v>47</v>
      </c>
      <c r="D562" s="72">
        <v>40828</v>
      </c>
      <c r="E562" s="130" t="s">
        <v>525</v>
      </c>
      <c r="F562" s="130" t="s">
        <v>525</v>
      </c>
      <c r="G562" s="58">
        <v>7</v>
      </c>
      <c r="H562" s="58">
        <v>7</v>
      </c>
      <c r="I562" s="59">
        <v>112.2</v>
      </c>
      <c r="J562" s="71">
        <v>4</v>
      </c>
      <c r="K562" s="71">
        <v>3</v>
      </c>
      <c r="L562" s="71">
        <v>1</v>
      </c>
      <c r="M562" s="59">
        <v>112.2</v>
      </c>
      <c r="N562" s="59">
        <v>85</v>
      </c>
      <c r="O562" s="73">
        <v>27.2</v>
      </c>
      <c r="P562" s="65">
        <f t="shared" si="190"/>
        <v>3831630</v>
      </c>
      <c r="Q562" s="83">
        <f t="shared" si="191"/>
        <v>1830065.9785361844</v>
      </c>
      <c r="R562" s="83">
        <f t="shared" si="192"/>
        <v>1621387.6945921378</v>
      </c>
      <c r="S562" s="83">
        <f t="shared" si="193"/>
        <v>380176.32687167777</v>
      </c>
      <c r="T562" s="83">
        <v>0</v>
      </c>
    </row>
    <row r="563" spans="1:20" ht="31.5">
      <c r="A563" s="43">
        <f t="shared" si="194"/>
        <v>81</v>
      </c>
      <c r="B563" s="57" t="s">
        <v>53</v>
      </c>
      <c r="C563" s="71">
        <v>51</v>
      </c>
      <c r="D563" s="72">
        <v>40828</v>
      </c>
      <c r="E563" s="130" t="s">
        <v>525</v>
      </c>
      <c r="F563" s="130" t="s">
        <v>525</v>
      </c>
      <c r="G563" s="58">
        <v>13</v>
      </c>
      <c r="H563" s="58">
        <v>13</v>
      </c>
      <c r="I563" s="59">
        <v>160.3</v>
      </c>
      <c r="J563" s="71">
        <v>4</v>
      </c>
      <c r="K563" s="71">
        <v>1</v>
      </c>
      <c r="L563" s="71">
        <v>3</v>
      </c>
      <c r="M563" s="59">
        <v>160.3</v>
      </c>
      <c r="N563" s="59">
        <v>39.7</v>
      </c>
      <c r="O563" s="73">
        <v>120.6</v>
      </c>
      <c r="P563" s="65">
        <f t="shared" si="190"/>
        <v>5474245</v>
      </c>
      <c r="Q563" s="83">
        <f t="shared" si="191"/>
        <v>2614612.9800298605</v>
      </c>
      <c r="R563" s="83">
        <f t="shared" si="192"/>
        <v>2316474.576141887</v>
      </c>
      <c r="S563" s="83">
        <f t="shared" si="193"/>
        <v>543157.4438282526</v>
      </c>
      <c r="T563" s="83">
        <v>0</v>
      </c>
    </row>
    <row r="564" spans="1:20" ht="31.5">
      <c r="A564" s="43">
        <f t="shared" si="194"/>
        <v>82</v>
      </c>
      <c r="B564" s="57" t="s">
        <v>54</v>
      </c>
      <c r="C564" s="71">
        <v>49</v>
      </c>
      <c r="D564" s="72">
        <v>40828</v>
      </c>
      <c r="E564" s="130" t="s">
        <v>525</v>
      </c>
      <c r="F564" s="130" t="s">
        <v>525</v>
      </c>
      <c r="G564" s="58">
        <v>16</v>
      </c>
      <c r="H564" s="58">
        <v>16</v>
      </c>
      <c r="I564" s="59">
        <v>178.7</v>
      </c>
      <c r="J564" s="71">
        <v>6</v>
      </c>
      <c r="K564" s="71">
        <v>3</v>
      </c>
      <c r="L564" s="71">
        <v>3</v>
      </c>
      <c r="M564" s="59">
        <v>178.7</v>
      </c>
      <c r="N564" s="59">
        <v>83.1</v>
      </c>
      <c r="O564" s="73">
        <v>95.6</v>
      </c>
      <c r="P564" s="65">
        <f t="shared" si="190"/>
        <v>6102605</v>
      </c>
      <c r="Q564" s="83">
        <f t="shared" si="191"/>
        <v>2914730.751911017</v>
      </c>
      <c r="R564" s="83">
        <f t="shared" si="192"/>
        <v>2582370.597358423</v>
      </c>
      <c r="S564" s="83">
        <f t="shared" si="193"/>
        <v>605503.6507305601</v>
      </c>
      <c r="T564" s="83">
        <v>0</v>
      </c>
    </row>
    <row r="565" spans="1:20" ht="31.5">
      <c r="A565" s="43">
        <f t="shared" si="194"/>
        <v>83</v>
      </c>
      <c r="B565" s="57" t="s">
        <v>55</v>
      </c>
      <c r="C565" s="71">
        <v>50</v>
      </c>
      <c r="D565" s="72">
        <v>40828</v>
      </c>
      <c r="E565" s="130" t="s">
        <v>525</v>
      </c>
      <c r="F565" s="130" t="s">
        <v>525</v>
      </c>
      <c r="G565" s="58">
        <v>19</v>
      </c>
      <c r="H565" s="58">
        <v>19</v>
      </c>
      <c r="I565" s="59">
        <v>355.2</v>
      </c>
      <c r="J565" s="71">
        <v>7</v>
      </c>
      <c r="K565" s="71">
        <v>0</v>
      </c>
      <c r="L565" s="71">
        <v>7</v>
      </c>
      <c r="M565" s="59">
        <v>281.6</v>
      </c>
      <c r="N565" s="59">
        <v>0</v>
      </c>
      <c r="O565" s="73">
        <v>281.6</v>
      </c>
      <c r="P565" s="65">
        <f t="shared" si="190"/>
        <v>9616640</v>
      </c>
      <c r="Q565" s="83">
        <f t="shared" si="191"/>
        <v>4593106.769659443</v>
      </c>
      <c r="R565" s="83">
        <f t="shared" si="192"/>
        <v>4069365.1942704637</v>
      </c>
      <c r="S565" s="83">
        <f t="shared" si="193"/>
        <v>954168.0360700935</v>
      </c>
      <c r="T565" s="83">
        <v>0</v>
      </c>
    </row>
    <row r="566" spans="1:20" ht="15.75">
      <c r="A566" s="148" t="s">
        <v>56</v>
      </c>
      <c r="B566" s="148"/>
      <c r="C566" s="58"/>
      <c r="D566" s="58"/>
      <c r="E566" s="58"/>
      <c r="F566" s="58"/>
      <c r="G566" s="65">
        <f>SUM(G567:G580)</f>
        <v>78</v>
      </c>
      <c r="H566" s="65">
        <f aca="true" t="shared" si="195" ref="H566:T566">SUM(H567:H580)</f>
        <v>78</v>
      </c>
      <c r="I566" s="59">
        <f t="shared" si="195"/>
        <v>1014.32</v>
      </c>
      <c r="J566" s="65">
        <f t="shared" si="195"/>
        <v>43</v>
      </c>
      <c r="K566" s="65">
        <f t="shared" si="195"/>
        <v>43</v>
      </c>
      <c r="L566" s="65">
        <f t="shared" si="195"/>
        <v>0</v>
      </c>
      <c r="M566" s="59">
        <f t="shared" si="195"/>
        <v>1014.32</v>
      </c>
      <c r="N566" s="59">
        <f t="shared" si="195"/>
        <v>1014.32</v>
      </c>
      <c r="O566" s="59">
        <f t="shared" si="195"/>
        <v>0</v>
      </c>
      <c r="P566" s="65">
        <f t="shared" si="195"/>
        <v>34639028</v>
      </c>
      <c r="Q566" s="65">
        <f t="shared" si="195"/>
        <v>17635100</v>
      </c>
      <c r="R566" s="65">
        <f t="shared" si="195"/>
        <v>15624200</v>
      </c>
      <c r="S566" s="65">
        <f t="shared" si="195"/>
        <v>1379728</v>
      </c>
      <c r="T566" s="65">
        <f t="shared" si="195"/>
        <v>0</v>
      </c>
    </row>
    <row r="567" spans="1:20" ht="31.5">
      <c r="A567" s="43">
        <f>A565+1</f>
        <v>84</v>
      </c>
      <c r="B567" s="91" t="s">
        <v>57</v>
      </c>
      <c r="C567" s="74">
        <v>32</v>
      </c>
      <c r="D567" s="72">
        <v>38076</v>
      </c>
      <c r="E567" s="130" t="s">
        <v>525</v>
      </c>
      <c r="F567" s="130" t="s">
        <v>525</v>
      </c>
      <c r="G567" s="81">
        <v>13</v>
      </c>
      <c r="H567" s="81">
        <v>13</v>
      </c>
      <c r="I567" s="82">
        <v>89</v>
      </c>
      <c r="J567" s="71">
        <f aca="true" t="shared" si="196" ref="J567:J580">K567+L567</f>
        <v>4</v>
      </c>
      <c r="K567" s="81">
        <v>4</v>
      </c>
      <c r="L567" s="71">
        <v>0</v>
      </c>
      <c r="M567" s="59">
        <f aca="true" t="shared" si="197" ref="M567:M580">N567+O567</f>
        <v>89</v>
      </c>
      <c r="N567" s="82">
        <v>89</v>
      </c>
      <c r="O567" s="73">
        <f>I567-N567</f>
        <v>0</v>
      </c>
      <c r="P567" s="65">
        <f>M567*34150</f>
        <v>3039350</v>
      </c>
      <c r="Q567" s="65">
        <v>1547365</v>
      </c>
      <c r="R567" s="65">
        <v>1370922</v>
      </c>
      <c r="S567" s="65">
        <v>121063</v>
      </c>
      <c r="T567" s="65">
        <v>0</v>
      </c>
    </row>
    <row r="568" spans="1:20" ht="31.5">
      <c r="A568" s="43">
        <f>A567+1</f>
        <v>85</v>
      </c>
      <c r="B568" s="91" t="s">
        <v>58</v>
      </c>
      <c r="C568" s="74">
        <v>16</v>
      </c>
      <c r="D568" s="72">
        <v>38064</v>
      </c>
      <c r="E568" s="130" t="s">
        <v>525</v>
      </c>
      <c r="F568" s="130" t="s">
        <v>525</v>
      </c>
      <c r="G568" s="81">
        <v>4</v>
      </c>
      <c r="H568" s="81">
        <v>4</v>
      </c>
      <c r="I568" s="82">
        <v>102.9</v>
      </c>
      <c r="J568" s="71">
        <f t="shared" si="196"/>
        <v>2</v>
      </c>
      <c r="K568" s="81">
        <v>2</v>
      </c>
      <c r="L568" s="71">
        <v>0</v>
      </c>
      <c r="M568" s="59">
        <f t="shared" si="197"/>
        <v>102.9</v>
      </c>
      <c r="N568" s="82">
        <v>102.9</v>
      </c>
      <c r="O568" s="73">
        <f>I568-N568</f>
        <v>0</v>
      </c>
      <c r="P568" s="65">
        <f aca="true" t="shared" si="198" ref="P568:P580">M568*34150</f>
        <v>3514035</v>
      </c>
      <c r="Q568" s="65">
        <v>1789035</v>
      </c>
      <c r="R568" s="65">
        <v>1585032</v>
      </c>
      <c r="S568" s="65">
        <v>139968</v>
      </c>
      <c r="T568" s="65">
        <v>0</v>
      </c>
    </row>
    <row r="569" spans="1:20" ht="31.5">
      <c r="A569" s="43">
        <f aca="true" t="shared" si="199" ref="A569:A580">A568+1</f>
        <v>86</v>
      </c>
      <c r="B569" s="91" t="s">
        <v>59</v>
      </c>
      <c r="C569" s="74">
        <v>47</v>
      </c>
      <c r="D569" s="72">
        <v>38218</v>
      </c>
      <c r="E569" s="130" t="s">
        <v>525</v>
      </c>
      <c r="F569" s="130" t="s">
        <v>525</v>
      </c>
      <c r="G569" s="81">
        <v>9</v>
      </c>
      <c r="H569" s="81">
        <v>9</v>
      </c>
      <c r="I569" s="82">
        <v>114.92</v>
      </c>
      <c r="J569" s="71">
        <f t="shared" si="196"/>
        <v>4</v>
      </c>
      <c r="K569" s="81">
        <v>4</v>
      </c>
      <c r="L569" s="71">
        <v>0</v>
      </c>
      <c r="M569" s="59">
        <f t="shared" si="197"/>
        <v>114.92</v>
      </c>
      <c r="N569" s="82">
        <v>114.92</v>
      </c>
      <c r="O569" s="73">
        <v>0</v>
      </c>
      <c r="P569" s="65">
        <f t="shared" si="198"/>
        <v>3924518</v>
      </c>
      <c r="Q569" s="65">
        <v>1998014</v>
      </c>
      <c r="R569" s="65">
        <v>1770185</v>
      </c>
      <c r="S569" s="65">
        <v>156319</v>
      </c>
      <c r="T569" s="65">
        <v>0</v>
      </c>
    </row>
    <row r="570" spans="1:20" ht="31.5">
      <c r="A570" s="43">
        <f t="shared" si="199"/>
        <v>87</v>
      </c>
      <c r="B570" s="91" t="s">
        <v>60</v>
      </c>
      <c r="C570" s="74">
        <v>44</v>
      </c>
      <c r="D570" s="72">
        <v>38217</v>
      </c>
      <c r="E570" s="130" t="s">
        <v>525</v>
      </c>
      <c r="F570" s="130" t="s">
        <v>525</v>
      </c>
      <c r="G570" s="81">
        <v>3</v>
      </c>
      <c r="H570" s="81">
        <v>3</v>
      </c>
      <c r="I570" s="82">
        <v>72</v>
      </c>
      <c r="J570" s="71">
        <f t="shared" si="196"/>
        <v>2</v>
      </c>
      <c r="K570" s="81">
        <v>2</v>
      </c>
      <c r="L570" s="71">
        <v>0</v>
      </c>
      <c r="M570" s="59">
        <f t="shared" si="197"/>
        <v>72</v>
      </c>
      <c r="N570" s="82">
        <v>72</v>
      </c>
      <c r="O570" s="73">
        <v>0</v>
      </c>
      <c r="P570" s="65">
        <f t="shared" si="198"/>
        <v>2458800</v>
      </c>
      <c r="Q570" s="65">
        <v>1251801</v>
      </c>
      <c r="R570" s="65">
        <v>1109060</v>
      </c>
      <c r="S570" s="65">
        <v>97939</v>
      </c>
      <c r="T570" s="65">
        <v>0</v>
      </c>
    </row>
    <row r="571" spans="1:20" ht="31.5">
      <c r="A571" s="43">
        <f t="shared" si="199"/>
        <v>88</v>
      </c>
      <c r="B571" s="91" t="s">
        <v>61</v>
      </c>
      <c r="C571" s="74">
        <v>42</v>
      </c>
      <c r="D571" s="72">
        <v>38217</v>
      </c>
      <c r="E571" s="130" t="s">
        <v>525</v>
      </c>
      <c r="F571" s="130" t="s">
        <v>525</v>
      </c>
      <c r="G571" s="81">
        <v>11</v>
      </c>
      <c r="H571" s="81">
        <v>11</v>
      </c>
      <c r="I571" s="82">
        <v>108.8</v>
      </c>
      <c r="J571" s="71">
        <f t="shared" si="196"/>
        <v>4</v>
      </c>
      <c r="K571" s="81">
        <v>4</v>
      </c>
      <c r="L571" s="71">
        <v>0</v>
      </c>
      <c r="M571" s="59">
        <f t="shared" si="197"/>
        <v>108.8</v>
      </c>
      <c r="N571" s="82">
        <v>108.8</v>
      </c>
      <c r="O571" s="73">
        <v>0</v>
      </c>
      <c r="P571" s="65">
        <f t="shared" si="198"/>
        <v>3715520</v>
      </c>
      <c r="Q571" s="65">
        <v>1891611</v>
      </c>
      <c r="R571" s="65">
        <v>1675914</v>
      </c>
      <c r="S571" s="65">
        <v>147995</v>
      </c>
      <c r="T571" s="65">
        <v>0</v>
      </c>
    </row>
    <row r="572" spans="1:20" ht="31.5">
      <c r="A572" s="43">
        <f t="shared" si="199"/>
        <v>89</v>
      </c>
      <c r="B572" s="91" t="s">
        <v>62</v>
      </c>
      <c r="C572" s="74">
        <v>34</v>
      </c>
      <c r="D572" s="72">
        <v>38215</v>
      </c>
      <c r="E572" s="130" t="s">
        <v>525</v>
      </c>
      <c r="F572" s="130" t="s">
        <v>525</v>
      </c>
      <c r="G572" s="81">
        <v>3</v>
      </c>
      <c r="H572" s="81">
        <v>3</v>
      </c>
      <c r="I572" s="82">
        <v>54.9</v>
      </c>
      <c r="J572" s="71">
        <f t="shared" si="196"/>
        <v>2</v>
      </c>
      <c r="K572" s="81">
        <v>2</v>
      </c>
      <c r="L572" s="71">
        <v>0</v>
      </c>
      <c r="M572" s="59">
        <f t="shared" si="197"/>
        <v>54.9</v>
      </c>
      <c r="N572" s="82">
        <v>54.9</v>
      </c>
      <c r="O572" s="73">
        <v>0</v>
      </c>
      <c r="P572" s="65">
        <f t="shared" si="198"/>
        <v>1874835</v>
      </c>
      <c r="Q572" s="65">
        <v>954498</v>
      </c>
      <c r="R572" s="65">
        <v>845659</v>
      </c>
      <c r="S572" s="65">
        <v>74678</v>
      </c>
      <c r="T572" s="65">
        <v>0</v>
      </c>
    </row>
    <row r="573" spans="1:20" ht="31.5">
      <c r="A573" s="43">
        <f t="shared" si="199"/>
        <v>90</v>
      </c>
      <c r="B573" s="91" t="s">
        <v>63</v>
      </c>
      <c r="C573" s="74">
        <v>41</v>
      </c>
      <c r="D573" s="72">
        <v>38216</v>
      </c>
      <c r="E573" s="130" t="s">
        <v>525</v>
      </c>
      <c r="F573" s="130" t="s">
        <v>525</v>
      </c>
      <c r="G573" s="81">
        <v>5</v>
      </c>
      <c r="H573" s="81">
        <v>5</v>
      </c>
      <c r="I573" s="82">
        <v>74.4</v>
      </c>
      <c r="J573" s="71">
        <f t="shared" si="196"/>
        <v>2</v>
      </c>
      <c r="K573" s="81">
        <v>2</v>
      </c>
      <c r="L573" s="71">
        <v>0</v>
      </c>
      <c r="M573" s="59">
        <f t="shared" si="197"/>
        <v>74.4</v>
      </c>
      <c r="N573" s="82">
        <v>74.4</v>
      </c>
      <c r="O573" s="73">
        <v>0</v>
      </c>
      <c r="P573" s="65">
        <f t="shared" si="198"/>
        <v>2540760</v>
      </c>
      <c r="Q573" s="65">
        <v>1293528</v>
      </c>
      <c r="R573" s="65">
        <v>1146029</v>
      </c>
      <c r="S573" s="65">
        <v>101203</v>
      </c>
      <c r="T573" s="65">
        <v>0</v>
      </c>
    </row>
    <row r="574" spans="1:20" ht="31.5">
      <c r="A574" s="43">
        <f t="shared" si="199"/>
        <v>91</v>
      </c>
      <c r="B574" s="91" t="s">
        <v>64</v>
      </c>
      <c r="C574" s="74">
        <v>39</v>
      </c>
      <c r="D574" s="72">
        <v>38215</v>
      </c>
      <c r="E574" s="130" t="s">
        <v>525</v>
      </c>
      <c r="F574" s="130" t="s">
        <v>525</v>
      </c>
      <c r="G574" s="81">
        <v>2</v>
      </c>
      <c r="H574" s="81">
        <v>2</v>
      </c>
      <c r="I574" s="82">
        <v>20.7</v>
      </c>
      <c r="J574" s="71">
        <v>2</v>
      </c>
      <c r="K574" s="81">
        <v>2</v>
      </c>
      <c r="L574" s="71">
        <v>0</v>
      </c>
      <c r="M574" s="59">
        <f t="shared" si="197"/>
        <v>20.7</v>
      </c>
      <c r="N574" s="82">
        <v>20.7</v>
      </c>
      <c r="O574" s="73">
        <v>0</v>
      </c>
      <c r="P574" s="65">
        <f t="shared" si="198"/>
        <v>706905</v>
      </c>
      <c r="Q574" s="65">
        <v>359893</v>
      </c>
      <c r="R574" s="65">
        <v>318855</v>
      </c>
      <c r="S574" s="65">
        <v>28157</v>
      </c>
      <c r="T574" s="65">
        <v>0</v>
      </c>
    </row>
    <row r="575" spans="1:20" ht="31.5">
      <c r="A575" s="43">
        <f t="shared" si="199"/>
        <v>92</v>
      </c>
      <c r="B575" s="91" t="s">
        <v>65</v>
      </c>
      <c r="C575" s="74">
        <v>40</v>
      </c>
      <c r="D575" s="72">
        <v>38216</v>
      </c>
      <c r="E575" s="130" t="s">
        <v>525</v>
      </c>
      <c r="F575" s="130" t="s">
        <v>525</v>
      </c>
      <c r="G575" s="81">
        <v>5</v>
      </c>
      <c r="H575" s="81">
        <v>5</v>
      </c>
      <c r="I575" s="82">
        <v>47.2</v>
      </c>
      <c r="J575" s="71">
        <f t="shared" si="196"/>
        <v>4</v>
      </c>
      <c r="K575" s="81">
        <v>4</v>
      </c>
      <c r="L575" s="71">
        <v>0</v>
      </c>
      <c r="M575" s="59">
        <f t="shared" si="197"/>
        <v>47.2</v>
      </c>
      <c r="N575" s="82">
        <v>47.2</v>
      </c>
      <c r="O575" s="73">
        <v>0</v>
      </c>
      <c r="P575" s="65">
        <f t="shared" si="198"/>
        <v>1611880</v>
      </c>
      <c r="Q575" s="65">
        <v>820625</v>
      </c>
      <c r="R575" s="65">
        <v>727051</v>
      </c>
      <c r="S575" s="65">
        <v>64204</v>
      </c>
      <c r="T575" s="65">
        <v>0</v>
      </c>
    </row>
    <row r="576" spans="1:20" ht="31.5">
      <c r="A576" s="43">
        <f t="shared" si="199"/>
        <v>93</v>
      </c>
      <c r="B576" s="91" t="s">
        <v>66</v>
      </c>
      <c r="C576" s="74">
        <v>37</v>
      </c>
      <c r="D576" s="72">
        <v>38216</v>
      </c>
      <c r="E576" s="130" t="s">
        <v>525</v>
      </c>
      <c r="F576" s="130" t="s">
        <v>525</v>
      </c>
      <c r="G576" s="81">
        <v>4</v>
      </c>
      <c r="H576" s="81">
        <v>4</v>
      </c>
      <c r="I576" s="82">
        <v>20.7</v>
      </c>
      <c r="J576" s="71">
        <f t="shared" si="196"/>
        <v>4</v>
      </c>
      <c r="K576" s="81">
        <v>4</v>
      </c>
      <c r="L576" s="71">
        <v>0</v>
      </c>
      <c r="M576" s="59">
        <f t="shared" si="197"/>
        <v>20.7</v>
      </c>
      <c r="N576" s="82">
        <v>20.7</v>
      </c>
      <c r="O576" s="73">
        <v>0</v>
      </c>
      <c r="P576" s="65">
        <f t="shared" si="198"/>
        <v>706905</v>
      </c>
      <c r="Q576" s="65">
        <v>359893</v>
      </c>
      <c r="R576" s="65">
        <v>318855</v>
      </c>
      <c r="S576" s="65">
        <v>28157</v>
      </c>
      <c r="T576" s="65">
        <v>0</v>
      </c>
    </row>
    <row r="577" spans="1:20" ht="31.5">
      <c r="A577" s="43">
        <f t="shared" si="199"/>
        <v>94</v>
      </c>
      <c r="B577" s="91" t="s">
        <v>67</v>
      </c>
      <c r="C577" s="74">
        <v>38</v>
      </c>
      <c r="D577" s="72">
        <v>38215</v>
      </c>
      <c r="E577" s="130" t="s">
        <v>525</v>
      </c>
      <c r="F577" s="130" t="s">
        <v>525</v>
      </c>
      <c r="G577" s="81">
        <v>5</v>
      </c>
      <c r="H577" s="81">
        <v>5</v>
      </c>
      <c r="I577" s="82">
        <v>110.8</v>
      </c>
      <c r="J577" s="71">
        <f t="shared" si="196"/>
        <v>4</v>
      </c>
      <c r="K577" s="81">
        <v>4</v>
      </c>
      <c r="L577" s="71">
        <v>0</v>
      </c>
      <c r="M577" s="59">
        <f t="shared" si="197"/>
        <v>110.8</v>
      </c>
      <c r="N577" s="82">
        <v>110.8</v>
      </c>
      <c r="O577" s="73">
        <v>0</v>
      </c>
      <c r="P577" s="65">
        <f t="shared" si="198"/>
        <v>3783820</v>
      </c>
      <c r="Q577" s="65">
        <v>1926383</v>
      </c>
      <c r="R577" s="65">
        <v>1706721</v>
      </c>
      <c r="S577" s="65">
        <v>150716</v>
      </c>
      <c r="T577" s="65">
        <v>0</v>
      </c>
    </row>
    <row r="578" spans="1:20" ht="31.5">
      <c r="A578" s="43">
        <f t="shared" si="199"/>
        <v>95</v>
      </c>
      <c r="B578" s="91" t="s">
        <v>68</v>
      </c>
      <c r="C578" s="74">
        <v>36</v>
      </c>
      <c r="D578" s="72">
        <v>38216</v>
      </c>
      <c r="E578" s="130" t="s">
        <v>525</v>
      </c>
      <c r="F578" s="130" t="s">
        <v>525</v>
      </c>
      <c r="G578" s="81">
        <v>4</v>
      </c>
      <c r="H578" s="81">
        <v>4</v>
      </c>
      <c r="I578" s="82">
        <v>79.2</v>
      </c>
      <c r="J578" s="71">
        <f t="shared" si="196"/>
        <v>3</v>
      </c>
      <c r="K578" s="81">
        <v>3</v>
      </c>
      <c r="L578" s="71">
        <v>0</v>
      </c>
      <c r="M578" s="59">
        <f t="shared" si="197"/>
        <v>79.2</v>
      </c>
      <c r="N578" s="82">
        <v>79.2</v>
      </c>
      <c r="O578" s="73">
        <v>0</v>
      </c>
      <c r="P578" s="65">
        <f t="shared" si="198"/>
        <v>2704680</v>
      </c>
      <c r="Q578" s="65">
        <v>1376982</v>
      </c>
      <c r="R578" s="65">
        <v>1219967</v>
      </c>
      <c r="S578" s="65">
        <v>107731</v>
      </c>
      <c r="T578" s="65">
        <v>0</v>
      </c>
    </row>
    <row r="579" spans="1:20" ht="31.5">
      <c r="A579" s="43">
        <f t="shared" si="199"/>
        <v>96</v>
      </c>
      <c r="B579" s="91" t="s">
        <v>69</v>
      </c>
      <c r="C579" s="74">
        <v>32</v>
      </c>
      <c r="D579" s="72">
        <v>38214</v>
      </c>
      <c r="E579" s="130" t="s">
        <v>525</v>
      </c>
      <c r="F579" s="130" t="s">
        <v>525</v>
      </c>
      <c r="G579" s="81">
        <v>6</v>
      </c>
      <c r="H579" s="81">
        <v>6</v>
      </c>
      <c r="I579" s="82">
        <v>59.4</v>
      </c>
      <c r="J579" s="71">
        <f t="shared" si="196"/>
        <v>3</v>
      </c>
      <c r="K579" s="81">
        <v>3</v>
      </c>
      <c r="L579" s="71">
        <v>0</v>
      </c>
      <c r="M579" s="59">
        <f t="shared" si="197"/>
        <v>59.4</v>
      </c>
      <c r="N579" s="82">
        <v>59.4</v>
      </c>
      <c r="O579" s="73">
        <v>0</v>
      </c>
      <c r="P579" s="65">
        <f t="shared" si="198"/>
        <v>2028510</v>
      </c>
      <c r="Q579" s="65">
        <v>1032736</v>
      </c>
      <c r="R579" s="65">
        <v>914975</v>
      </c>
      <c r="S579" s="65">
        <v>80799</v>
      </c>
      <c r="T579" s="65">
        <v>0</v>
      </c>
    </row>
    <row r="580" spans="1:20" ht="31.5">
      <c r="A580" s="43">
        <f t="shared" si="199"/>
        <v>97</v>
      </c>
      <c r="B580" s="91" t="s">
        <v>70</v>
      </c>
      <c r="C580" s="74">
        <v>33</v>
      </c>
      <c r="D580" s="72">
        <v>38215</v>
      </c>
      <c r="E580" s="130" t="s">
        <v>525</v>
      </c>
      <c r="F580" s="130" t="s">
        <v>525</v>
      </c>
      <c r="G580" s="81">
        <v>4</v>
      </c>
      <c r="H580" s="81">
        <v>4</v>
      </c>
      <c r="I580" s="82">
        <v>59.4</v>
      </c>
      <c r="J580" s="71">
        <f t="shared" si="196"/>
        <v>3</v>
      </c>
      <c r="K580" s="81">
        <v>3</v>
      </c>
      <c r="L580" s="71">
        <v>0</v>
      </c>
      <c r="M580" s="59">
        <f t="shared" si="197"/>
        <v>59.4</v>
      </c>
      <c r="N580" s="82">
        <v>59.4</v>
      </c>
      <c r="O580" s="73">
        <v>0</v>
      </c>
      <c r="P580" s="65">
        <f t="shared" si="198"/>
        <v>2028510</v>
      </c>
      <c r="Q580" s="65">
        <v>1032736</v>
      </c>
      <c r="R580" s="65">
        <v>914975</v>
      </c>
      <c r="S580" s="65">
        <v>80799</v>
      </c>
      <c r="T580" s="65">
        <v>0</v>
      </c>
    </row>
    <row r="581" spans="1:20" ht="15.75">
      <c r="A581" s="152" t="s">
        <v>476</v>
      </c>
      <c r="B581" s="152"/>
      <c r="C581" s="33"/>
      <c r="D581" s="33"/>
      <c r="E581" s="33"/>
      <c r="F581" s="33"/>
      <c r="G581" s="33">
        <f>G582+G583</f>
        <v>68</v>
      </c>
      <c r="H581" s="33">
        <f aca="true" t="shared" si="200" ref="H581:N581">H582+H583</f>
        <v>68</v>
      </c>
      <c r="I581" s="85">
        <f t="shared" si="200"/>
        <v>744.8</v>
      </c>
      <c r="J581" s="33">
        <f t="shared" si="200"/>
        <v>24</v>
      </c>
      <c r="K581" s="33">
        <f t="shared" si="200"/>
        <v>2</v>
      </c>
      <c r="L581" s="33">
        <f t="shared" si="200"/>
        <v>22</v>
      </c>
      <c r="M581" s="85">
        <f t="shared" si="200"/>
        <v>552.2</v>
      </c>
      <c r="N581" s="85">
        <f t="shared" si="200"/>
        <v>58.7</v>
      </c>
      <c r="O581" s="85">
        <f aca="true" t="shared" si="201" ref="O581:T581">O582+O583</f>
        <v>493.5</v>
      </c>
      <c r="P581" s="84">
        <f t="shared" si="201"/>
        <v>18857630</v>
      </c>
      <c r="Q581" s="84">
        <f t="shared" si="201"/>
        <v>8998999.99994981</v>
      </c>
      <c r="R581" s="84">
        <f t="shared" si="201"/>
        <v>7972899.99995981</v>
      </c>
      <c r="S581" s="84">
        <f t="shared" si="201"/>
        <v>1885730.0000903811</v>
      </c>
      <c r="T581" s="84">
        <f t="shared" si="201"/>
        <v>0</v>
      </c>
    </row>
    <row r="582" spans="1:20" ht="31.5">
      <c r="A582" s="136">
        <v>98</v>
      </c>
      <c r="B582" s="91" t="s">
        <v>71</v>
      </c>
      <c r="C582" s="74">
        <v>3</v>
      </c>
      <c r="D582" s="79">
        <v>40745</v>
      </c>
      <c r="E582" s="130" t="s">
        <v>525</v>
      </c>
      <c r="F582" s="130" t="s">
        <v>525</v>
      </c>
      <c r="G582" s="33">
        <v>39</v>
      </c>
      <c r="H582" s="33">
        <v>39</v>
      </c>
      <c r="I582" s="85">
        <v>513.5</v>
      </c>
      <c r="J582" s="84">
        <v>13</v>
      </c>
      <c r="K582" s="33">
        <v>2</v>
      </c>
      <c r="L582" s="84">
        <v>11</v>
      </c>
      <c r="M582" s="85">
        <v>320.9</v>
      </c>
      <c r="N582" s="85">
        <v>58.7</v>
      </c>
      <c r="O582" s="85">
        <v>262.2</v>
      </c>
      <c r="P582" s="65">
        <f>M582*34150</f>
        <v>10958735</v>
      </c>
      <c r="Q582" s="84">
        <f>P582*0.47720736911</f>
        <v>5229589.098123676</v>
      </c>
      <c r="R582" s="84">
        <f>P582*0.42279438084</f>
        <v>4633291.579114637</v>
      </c>
      <c r="S582" s="84">
        <f>P582-Q582-R582</f>
        <v>1095854.3227616865</v>
      </c>
      <c r="T582" s="84">
        <v>0</v>
      </c>
    </row>
    <row r="583" spans="1:20" ht="31.5">
      <c r="A583" s="136">
        <f>A582+1</f>
        <v>99</v>
      </c>
      <c r="B583" s="91" t="s">
        <v>72</v>
      </c>
      <c r="C583" s="74">
        <v>6</v>
      </c>
      <c r="D583" s="79">
        <v>40466</v>
      </c>
      <c r="E583" s="130" t="s">
        <v>525</v>
      </c>
      <c r="F583" s="130" t="s">
        <v>525</v>
      </c>
      <c r="G583" s="33">
        <v>29</v>
      </c>
      <c r="H583" s="33">
        <v>29</v>
      </c>
      <c r="I583" s="85">
        <v>231.3</v>
      </c>
      <c r="J583" s="84">
        <v>11</v>
      </c>
      <c r="K583" s="33">
        <v>0</v>
      </c>
      <c r="L583" s="84">
        <v>11</v>
      </c>
      <c r="M583" s="85">
        <v>231.3</v>
      </c>
      <c r="N583" s="85">
        <v>0</v>
      </c>
      <c r="O583" s="85">
        <v>231.3</v>
      </c>
      <c r="P583" s="65">
        <f>M583*34150</f>
        <v>7898895</v>
      </c>
      <c r="Q583" s="84">
        <f>P583*0.47720736911</f>
        <v>3769410.9018261335</v>
      </c>
      <c r="R583" s="84">
        <f>P583*0.42279438084</f>
        <v>3339608.420845172</v>
      </c>
      <c r="S583" s="84">
        <f>P583-Q583-R583</f>
        <v>789875.6773286946</v>
      </c>
      <c r="T583" s="84">
        <v>0</v>
      </c>
    </row>
    <row r="584" spans="1:20" ht="15.75">
      <c r="A584" s="148" t="s">
        <v>481</v>
      </c>
      <c r="B584" s="148"/>
      <c r="C584" s="58"/>
      <c r="D584" s="58"/>
      <c r="E584" s="58"/>
      <c r="F584" s="58"/>
      <c r="G584" s="58">
        <v>9</v>
      </c>
      <c r="H584" s="58">
        <v>9</v>
      </c>
      <c r="I584" s="59">
        <v>182</v>
      </c>
      <c r="J584" s="126">
        <v>3</v>
      </c>
      <c r="K584" s="126">
        <v>3</v>
      </c>
      <c r="L584" s="126">
        <v>0</v>
      </c>
      <c r="M584" s="59">
        <v>161.4</v>
      </c>
      <c r="N584" s="59">
        <v>161.4</v>
      </c>
      <c r="O584" s="59">
        <v>0</v>
      </c>
      <c r="P584" s="65">
        <f>P585</f>
        <v>5511810</v>
      </c>
      <c r="Q584" s="65">
        <f>Q585</f>
        <v>2630300</v>
      </c>
      <c r="R584" s="65">
        <f>R585</f>
        <v>2330300</v>
      </c>
      <c r="S584" s="65">
        <f>S585</f>
        <v>551210</v>
      </c>
      <c r="T584" s="65">
        <f>T585</f>
        <v>0</v>
      </c>
    </row>
    <row r="585" spans="1:20" ht="31.5">
      <c r="A585" s="43">
        <v>100</v>
      </c>
      <c r="B585" s="47" t="s">
        <v>73</v>
      </c>
      <c r="C585" s="71">
        <v>27</v>
      </c>
      <c r="D585" s="72">
        <v>40885</v>
      </c>
      <c r="E585" s="130" t="s">
        <v>525</v>
      </c>
      <c r="F585" s="130" t="s">
        <v>525</v>
      </c>
      <c r="G585" s="58">
        <v>9</v>
      </c>
      <c r="H585" s="58">
        <v>9</v>
      </c>
      <c r="I585" s="59">
        <v>182</v>
      </c>
      <c r="J585" s="126">
        <v>3</v>
      </c>
      <c r="K585" s="126">
        <v>3</v>
      </c>
      <c r="L585" s="126">
        <v>0</v>
      </c>
      <c r="M585" s="59">
        <v>161.4</v>
      </c>
      <c r="N585" s="59">
        <v>161.4</v>
      </c>
      <c r="O585" s="73">
        <v>0</v>
      </c>
      <c r="P585" s="65">
        <f>M585*34150</f>
        <v>5511810</v>
      </c>
      <c r="Q585" s="65">
        <v>2630300</v>
      </c>
      <c r="R585" s="65">
        <v>2330300</v>
      </c>
      <c r="S585" s="65">
        <f>P585-Q585-R585</f>
        <v>551210</v>
      </c>
      <c r="T585" s="65">
        <v>0</v>
      </c>
    </row>
    <row r="586" spans="1:20" ht="15.75">
      <c r="A586" s="152" t="s">
        <v>74</v>
      </c>
      <c r="B586" s="152"/>
      <c r="C586" s="58"/>
      <c r="D586" s="58"/>
      <c r="E586" s="58"/>
      <c r="F586" s="58"/>
      <c r="G586" s="58">
        <f>SUM(G587:G588)</f>
        <v>27</v>
      </c>
      <c r="H586" s="58">
        <f>SUM(H587:H588)</f>
        <v>27</v>
      </c>
      <c r="I586" s="59">
        <f>SUM(I587:I588)</f>
        <v>194.3</v>
      </c>
      <c r="J586" s="65">
        <f>J587+J588</f>
        <v>8</v>
      </c>
      <c r="K586" s="65">
        <f>K587+K588</f>
        <v>7</v>
      </c>
      <c r="L586" s="65">
        <f>L587+L588</f>
        <v>1</v>
      </c>
      <c r="M586" s="59">
        <f>SUM(M587:M588)</f>
        <v>194.3</v>
      </c>
      <c r="N586" s="59">
        <f>SUM(N587:N588)</f>
        <v>169.9</v>
      </c>
      <c r="O586" s="59">
        <f>SUM(O587:O588)</f>
        <v>24.4</v>
      </c>
      <c r="P586" s="65">
        <f>P587+P588</f>
        <v>6635345</v>
      </c>
      <c r="Q586" s="65">
        <f>Q587+Q588</f>
        <v>3314199.9999522525</v>
      </c>
      <c r="R586" s="65">
        <f>R587+R588</f>
        <v>2936300</v>
      </c>
      <c r="S586" s="65">
        <f>S587+S588</f>
        <v>384845.0000477474</v>
      </c>
      <c r="T586" s="65">
        <f>T587+T588</f>
        <v>0</v>
      </c>
    </row>
    <row r="587" spans="1:20" ht="47.25">
      <c r="A587" s="43">
        <f>A585+1</f>
        <v>101</v>
      </c>
      <c r="B587" s="57" t="s">
        <v>76</v>
      </c>
      <c r="C587" s="58">
        <v>20</v>
      </c>
      <c r="D587" s="72">
        <v>40752</v>
      </c>
      <c r="E587" s="130" t="s">
        <v>525</v>
      </c>
      <c r="F587" s="130" t="s">
        <v>525</v>
      </c>
      <c r="G587" s="58">
        <v>22</v>
      </c>
      <c r="H587" s="58">
        <v>22</v>
      </c>
      <c r="I587" s="59">
        <v>145</v>
      </c>
      <c r="J587" s="58">
        <v>6</v>
      </c>
      <c r="K587" s="58">
        <v>6</v>
      </c>
      <c r="L587" s="58">
        <v>0</v>
      </c>
      <c r="M587" s="59">
        <v>145</v>
      </c>
      <c r="N587" s="59">
        <v>145</v>
      </c>
      <c r="O587" s="59">
        <v>0</v>
      </c>
      <c r="P587" s="65">
        <f>M587*34150</f>
        <v>4951750</v>
      </c>
      <c r="Q587" s="65">
        <f>P587*0.49947666624</f>
        <v>2473283.58205392</v>
      </c>
      <c r="R587" s="65">
        <f>2093600+98100</f>
        <v>2191700</v>
      </c>
      <c r="S587" s="65">
        <f>P587-Q587-R587</f>
        <v>286766.4179460802</v>
      </c>
      <c r="T587" s="65">
        <v>0</v>
      </c>
    </row>
    <row r="588" spans="1:20" ht="47.25">
      <c r="A588" s="43">
        <f>A587+1</f>
        <v>102</v>
      </c>
      <c r="B588" s="57" t="s">
        <v>75</v>
      </c>
      <c r="C588" s="58">
        <v>10</v>
      </c>
      <c r="D588" s="72">
        <v>38325</v>
      </c>
      <c r="E588" s="130" t="s">
        <v>525</v>
      </c>
      <c r="F588" s="130" t="s">
        <v>525</v>
      </c>
      <c r="G588" s="58">
        <v>5</v>
      </c>
      <c r="H588" s="58">
        <v>5</v>
      </c>
      <c r="I588" s="59">
        <v>49.3</v>
      </c>
      <c r="J588" s="58">
        <v>2</v>
      </c>
      <c r="K588" s="58">
        <v>1</v>
      </c>
      <c r="L588" s="58">
        <v>1</v>
      </c>
      <c r="M588" s="59">
        <v>49.3</v>
      </c>
      <c r="N588" s="59">
        <v>24.9</v>
      </c>
      <c r="O588" s="59">
        <f>M588-N588</f>
        <v>24.4</v>
      </c>
      <c r="P588" s="65">
        <f>M588*34150</f>
        <v>1683595</v>
      </c>
      <c r="Q588" s="65">
        <f>P588*0.49947666624</f>
        <v>840916.4178983328</v>
      </c>
      <c r="R588" s="65">
        <f>711300+33300</f>
        <v>744600</v>
      </c>
      <c r="S588" s="65">
        <f>P588-Q588-R588</f>
        <v>98078.58210166718</v>
      </c>
      <c r="T588" s="65">
        <v>0</v>
      </c>
    </row>
    <row r="589" spans="1:20" ht="15.75">
      <c r="A589" s="152" t="s">
        <v>77</v>
      </c>
      <c r="B589" s="152"/>
      <c r="C589" s="58"/>
      <c r="D589" s="71"/>
      <c r="E589" s="74"/>
      <c r="F589" s="71"/>
      <c r="G589" s="126">
        <f>G590+G591+G592+G593+G594+G595</f>
        <v>46</v>
      </c>
      <c r="H589" s="126">
        <f aca="true" t="shared" si="202" ref="H589:N589">H590+H591+H592+H593+H594+H595</f>
        <v>46</v>
      </c>
      <c r="I589" s="73">
        <f t="shared" si="202"/>
        <v>1011.24</v>
      </c>
      <c r="J589" s="126">
        <f t="shared" si="202"/>
        <v>24</v>
      </c>
      <c r="K589" s="126">
        <f t="shared" si="202"/>
        <v>15</v>
      </c>
      <c r="L589" s="126">
        <f t="shared" si="202"/>
        <v>9</v>
      </c>
      <c r="M589" s="73">
        <f t="shared" si="202"/>
        <v>1011.24</v>
      </c>
      <c r="N589" s="73">
        <f t="shared" si="202"/>
        <v>698.27</v>
      </c>
      <c r="O589" s="73">
        <f aca="true" t="shared" si="203" ref="O589:T589">O590+O591+O592+O593+O594+O595</f>
        <v>312.97</v>
      </c>
      <c r="P589" s="126">
        <f t="shared" si="203"/>
        <v>34533846</v>
      </c>
      <c r="Q589" s="126">
        <f t="shared" si="203"/>
        <v>16479799.9997852</v>
      </c>
      <c r="R589" s="126">
        <f t="shared" si="203"/>
        <v>14600699.99973049</v>
      </c>
      <c r="S589" s="126">
        <f t="shared" si="203"/>
        <v>3453346.0004843096</v>
      </c>
      <c r="T589" s="126">
        <f t="shared" si="203"/>
        <v>992399</v>
      </c>
    </row>
    <row r="590" spans="1:20" ht="31.5">
      <c r="A590" s="43">
        <v>103</v>
      </c>
      <c r="B590" s="57" t="s">
        <v>79</v>
      </c>
      <c r="C590" s="58">
        <v>44</v>
      </c>
      <c r="D590" s="130">
        <v>38121</v>
      </c>
      <c r="E590" s="130" t="s">
        <v>525</v>
      </c>
      <c r="F590" s="130" t="s">
        <v>525</v>
      </c>
      <c r="G590" s="71">
        <v>6</v>
      </c>
      <c r="H590" s="71">
        <v>6</v>
      </c>
      <c r="I590" s="73">
        <v>235.24</v>
      </c>
      <c r="J590" s="71">
        <v>4</v>
      </c>
      <c r="K590" s="71">
        <v>4</v>
      </c>
      <c r="L590" s="71">
        <v>0</v>
      </c>
      <c r="M590" s="73">
        <v>235.24</v>
      </c>
      <c r="N590" s="73">
        <v>235.24</v>
      </c>
      <c r="O590" s="73">
        <v>0</v>
      </c>
      <c r="P590" s="65">
        <f aca="true" t="shared" si="204" ref="P590:P595">M590*34150</f>
        <v>8033446</v>
      </c>
      <c r="Q590" s="126">
        <f aca="true" t="shared" si="205" ref="Q590:Q595">P590*0.4772072013</f>
        <v>3833618.2824546797</v>
      </c>
      <c r="R590" s="84">
        <f aca="true" t="shared" si="206" ref="R590:R595">P590*0.42279391643</f>
        <v>3396492.096768918</v>
      </c>
      <c r="S590" s="126">
        <f aca="true" t="shared" si="207" ref="S590:S595">P590-Q590-R590</f>
        <v>803335.6207764023</v>
      </c>
      <c r="T590" s="126">
        <v>258174</v>
      </c>
    </row>
    <row r="591" spans="1:20" ht="47.25">
      <c r="A591" s="43">
        <f>A590+1</f>
        <v>104</v>
      </c>
      <c r="B591" s="57" t="s">
        <v>78</v>
      </c>
      <c r="C591" s="58">
        <v>21</v>
      </c>
      <c r="D591" s="130">
        <v>40903</v>
      </c>
      <c r="E591" s="130" t="s">
        <v>525</v>
      </c>
      <c r="F591" s="130" t="s">
        <v>525</v>
      </c>
      <c r="G591" s="71">
        <v>2</v>
      </c>
      <c r="H591" s="71">
        <v>2</v>
      </c>
      <c r="I591" s="73">
        <v>89.6</v>
      </c>
      <c r="J591" s="71">
        <v>2</v>
      </c>
      <c r="K591" s="71">
        <v>2</v>
      </c>
      <c r="L591" s="71">
        <v>0</v>
      </c>
      <c r="M591" s="73">
        <v>89.6</v>
      </c>
      <c r="N591" s="73">
        <v>89.6</v>
      </c>
      <c r="O591" s="73">
        <v>0</v>
      </c>
      <c r="P591" s="65">
        <f t="shared" si="204"/>
        <v>3059840</v>
      </c>
      <c r="Q591" s="126">
        <f t="shared" si="205"/>
        <v>1460177.6828257919</v>
      </c>
      <c r="R591" s="84">
        <f t="shared" si="206"/>
        <v>1293681.7372491714</v>
      </c>
      <c r="S591" s="126">
        <f t="shared" si="207"/>
        <v>305980.57992503676</v>
      </c>
      <c r="T591" s="126">
        <v>27320</v>
      </c>
    </row>
    <row r="592" spans="1:20" ht="31.5">
      <c r="A592" s="43">
        <f>A591+1</f>
        <v>105</v>
      </c>
      <c r="B592" s="57" t="s">
        <v>80</v>
      </c>
      <c r="C592" s="58">
        <v>19</v>
      </c>
      <c r="D592" s="130">
        <v>40903</v>
      </c>
      <c r="E592" s="130" t="s">
        <v>525</v>
      </c>
      <c r="F592" s="130" t="s">
        <v>525</v>
      </c>
      <c r="G592" s="71">
        <v>7</v>
      </c>
      <c r="H592" s="71">
        <v>7</v>
      </c>
      <c r="I592" s="73">
        <v>51.33</v>
      </c>
      <c r="J592" s="71">
        <v>2</v>
      </c>
      <c r="K592" s="71">
        <v>1</v>
      </c>
      <c r="L592" s="71">
        <v>1</v>
      </c>
      <c r="M592" s="73">
        <v>51.33</v>
      </c>
      <c r="N592" s="73">
        <v>30.88</v>
      </c>
      <c r="O592" s="73">
        <f>M592-N592</f>
        <v>20.45</v>
      </c>
      <c r="P592" s="65">
        <f t="shared" si="204"/>
        <v>1752919.5</v>
      </c>
      <c r="Q592" s="126">
        <f t="shared" si="205"/>
        <v>836505.8086991954</v>
      </c>
      <c r="R592" s="84">
        <f t="shared" si="206"/>
        <v>741123.7005915174</v>
      </c>
      <c r="S592" s="126">
        <f t="shared" si="207"/>
        <v>175289.99070928723</v>
      </c>
      <c r="T592" s="126">
        <v>43371</v>
      </c>
    </row>
    <row r="593" spans="1:20" ht="47.25">
      <c r="A593" s="43">
        <f>A592+1</f>
        <v>106</v>
      </c>
      <c r="B593" s="57" t="s">
        <v>81</v>
      </c>
      <c r="C593" s="58">
        <v>22</v>
      </c>
      <c r="D593" s="130">
        <v>40903</v>
      </c>
      <c r="E593" s="130" t="s">
        <v>525</v>
      </c>
      <c r="F593" s="130" t="s">
        <v>525</v>
      </c>
      <c r="G593" s="71">
        <v>8</v>
      </c>
      <c r="H593" s="71">
        <v>8</v>
      </c>
      <c r="I593" s="73">
        <v>155</v>
      </c>
      <c r="J593" s="71">
        <v>4</v>
      </c>
      <c r="K593" s="71">
        <v>3</v>
      </c>
      <c r="L593" s="71">
        <v>1</v>
      </c>
      <c r="M593" s="73">
        <v>155</v>
      </c>
      <c r="N593" s="73">
        <v>120.52</v>
      </c>
      <c r="O593" s="73">
        <f>M593-N593</f>
        <v>34.480000000000004</v>
      </c>
      <c r="P593" s="65">
        <f t="shared" si="204"/>
        <v>5293250</v>
      </c>
      <c r="Q593" s="126">
        <f t="shared" si="205"/>
        <v>2525977.018281225</v>
      </c>
      <c r="R593" s="84">
        <f t="shared" si="206"/>
        <v>2237953.8981430978</v>
      </c>
      <c r="S593" s="126">
        <f t="shared" si="207"/>
        <v>529319.0835756771</v>
      </c>
      <c r="T593" s="126">
        <v>184410</v>
      </c>
    </row>
    <row r="594" spans="1:20" ht="31.5">
      <c r="A594" s="43">
        <f>A593+1</f>
        <v>107</v>
      </c>
      <c r="B594" s="57" t="s">
        <v>82</v>
      </c>
      <c r="C594" s="58">
        <v>45</v>
      </c>
      <c r="D594" s="130">
        <v>38121</v>
      </c>
      <c r="E594" s="130" t="s">
        <v>525</v>
      </c>
      <c r="F594" s="130" t="s">
        <v>525</v>
      </c>
      <c r="G594" s="71">
        <v>6</v>
      </c>
      <c r="H594" s="71">
        <v>6</v>
      </c>
      <c r="I594" s="73">
        <v>71.5</v>
      </c>
      <c r="J594" s="71">
        <v>2</v>
      </c>
      <c r="K594" s="71">
        <v>1</v>
      </c>
      <c r="L594" s="71">
        <v>1</v>
      </c>
      <c r="M594" s="73">
        <v>71.5</v>
      </c>
      <c r="N594" s="73">
        <v>41.1</v>
      </c>
      <c r="O594" s="73">
        <f>M594-N594</f>
        <v>30.4</v>
      </c>
      <c r="P594" s="65">
        <f t="shared" si="204"/>
        <v>2441725</v>
      </c>
      <c r="Q594" s="126">
        <f t="shared" si="205"/>
        <v>1165208.7535942425</v>
      </c>
      <c r="R594" s="84">
        <f t="shared" si="206"/>
        <v>1032346.4755950418</v>
      </c>
      <c r="S594" s="126">
        <f t="shared" si="207"/>
        <v>244169.77081071574</v>
      </c>
      <c r="T594" s="126">
        <v>27320</v>
      </c>
    </row>
    <row r="595" spans="1:20" ht="47.25">
      <c r="A595" s="43">
        <f>A594+1</f>
        <v>108</v>
      </c>
      <c r="B595" s="57" t="s">
        <v>83</v>
      </c>
      <c r="C595" s="58">
        <v>23</v>
      </c>
      <c r="D595" s="130">
        <v>40903</v>
      </c>
      <c r="E595" s="130" t="s">
        <v>525</v>
      </c>
      <c r="F595" s="130" t="s">
        <v>525</v>
      </c>
      <c r="G595" s="71">
        <v>17</v>
      </c>
      <c r="H595" s="71">
        <v>17</v>
      </c>
      <c r="I595" s="73">
        <v>408.57</v>
      </c>
      <c r="J595" s="71">
        <v>10</v>
      </c>
      <c r="K595" s="71">
        <v>4</v>
      </c>
      <c r="L595" s="71">
        <v>6</v>
      </c>
      <c r="M595" s="73">
        <v>408.57</v>
      </c>
      <c r="N595" s="73">
        <v>180.93</v>
      </c>
      <c r="O595" s="73">
        <f>M595-N595</f>
        <v>227.64</v>
      </c>
      <c r="P595" s="65">
        <f t="shared" si="204"/>
        <v>13952665.5</v>
      </c>
      <c r="Q595" s="126">
        <f t="shared" si="205"/>
        <v>6658312.453930065</v>
      </c>
      <c r="R595" s="84">
        <f t="shared" si="206"/>
        <v>5899102.091382745</v>
      </c>
      <c r="S595" s="126">
        <f t="shared" si="207"/>
        <v>1395250.9546871902</v>
      </c>
      <c r="T595" s="126">
        <v>451804</v>
      </c>
    </row>
    <row r="596" spans="1:20" ht="15.75">
      <c r="A596" s="152" t="s">
        <v>84</v>
      </c>
      <c r="B596" s="152"/>
      <c r="C596" s="58"/>
      <c r="D596" s="58"/>
      <c r="E596" s="58"/>
      <c r="F596" s="58"/>
      <c r="G596" s="58">
        <f>G597+G598+G599+G600+G601</f>
        <v>109</v>
      </c>
      <c r="H596" s="58">
        <f aca="true" t="shared" si="208" ref="H596:N596">H597+H598+H599+H600+H601</f>
        <v>109</v>
      </c>
      <c r="I596" s="59">
        <f t="shared" si="208"/>
        <v>1820.1999999999998</v>
      </c>
      <c r="J596" s="58">
        <f t="shared" si="208"/>
        <v>45</v>
      </c>
      <c r="K596" s="58">
        <f t="shared" si="208"/>
        <v>36</v>
      </c>
      <c r="L596" s="58">
        <f t="shared" si="208"/>
        <v>9</v>
      </c>
      <c r="M596" s="59">
        <f t="shared" si="208"/>
        <v>1820.1999999999998</v>
      </c>
      <c r="N596" s="59">
        <f t="shared" si="208"/>
        <v>1495.7</v>
      </c>
      <c r="O596" s="59">
        <f aca="true" t="shared" si="209" ref="O596:T596">O597+O598+O599+O600+O601</f>
        <v>324.5</v>
      </c>
      <c r="P596" s="65">
        <f t="shared" si="209"/>
        <v>62159830</v>
      </c>
      <c r="Q596" s="65">
        <f t="shared" si="209"/>
        <v>29663099.800893743</v>
      </c>
      <c r="R596" s="65">
        <f t="shared" si="209"/>
        <v>26280699.999593347</v>
      </c>
      <c r="S596" s="65">
        <f t="shared" si="209"/>
        <v>6216030.199512912</v>
      </c>
      <c r="T596" s="65">
        <f t="shared" si="209"/>
        <v>0</v>
      </c>
    </row>
    <row r="597" spans="1:20" ht="31.5">
      <c r="A597" s="43">
        <f>A595+1</f>
        <v>109</v>
      </c>
      <c r="B597" s="47" t="s">
        <v>85</v>
      </c>
      <c r="C597" s="71">
        <v>25</v>
      </c>
      <c r="D597" s="72">
        <v>40885</v>
      </c>
      <c r="E597" s="130" t="s">
        <v>525</v>
      </c>
      <c r="F597" s="130" t="s">
        <v>525</v>
      </c>
      <c r="G597" s="58">
        <v>40</v>
      </c>
      <c r="H597" s="58">
        <v>40</v>
      </c>
      <c r="I597" s="59">
        <v>507.6</v>
      </c>
      <c r="J597" s="71">
        <v>17</v>
      </c>
      <c r="K597" s="71">
        <v>13</v>
      </c>
      <c r="L597" s="71">
        <v>4</v>
      </c>
      <c r="M597" s="59">
        <v>507.6</v>
      </c>
      <c r="N597" s="59">
        <v>443.2</v>
      </c>
      <c r="O597" s="73">
        <v>64.4</v>
      </c>
      <c r="P597" s="126">
        <f>M597*34150</f>
        <v>17334540</v>
      </c>
      <c r="Q597" s="65">
        <f>P597*0.477206900355</f>
        <v>8272162.102479762</v>
      </c>
      <c r="R597" s="65">
        <f>P597*0.42279234032</f>
        <v>7328910.734970653</v>
      </c>
      <c r="S597" s="65">
        <f>P597-Q597-R597</f>
        <v>1733467.1625495832</v>
      </c>
      <c r="T597" s="65">
        <v>0</v>
      </c>
    </row>
    <row r="598" spans="1:20" ht="31.5">
      <c r="A598" s="43">
        <f>A597+1</f>
        <v>110</v>
      </c>
      <c r="B598" s="47" t="s">
        <v>86</v>
      </c>
      <c r="C598" s="71">
        <v>16</v>
      </c>
      <c r="D598" s="72">
        <v>40885</v>
      </c>
      <c r="E598" s="130" t="s">
        <v>525</v>
      </c>
      <c r="F598" s="130" t="s">
        <v>525</v>
      </c>
      <c r="G598" s="58">
        <v>20</v>
      </c>
      <c r="H598" s="58">
        <v>20</v>
      </c>
      <c r="I598" s="59">
        <v>399.6</v>
      </c>
      <c r="J598" s="71">
        <v>8</v>
      </c>
      <c r="K598" s="71">
        <v>8</v>
      </c>
      <c r="L598" s="71">
        <v>0</v>
      </c>
      <c r="M598" s="59">
        <v>399.6</v>
      </c>
      <c r="N598" s="59">
        <v>399.6</v>
      </c>
      <c r="O598" s="73">
        <v>0</v>
      </c>
      <c r="P598" s="126">
        <f>M598*34150</f>
        <v>13646340</v>
      </c>
      <c r="Q598" s="65">
        <f>P598*0.477206900355</f>
        <v>6512127.612590451</v>
      </c>
      <c r="R598" s="65">
        <f>P598*0.42279234032</f>
        <v>5769568.025402429</v>
      </c>
      <c r="S598" s="65">
        <f>P598-Q598-R598</f>
        <v>1364644.3620071206</v>
      </c>
      <c r="T598" s="65">
        <v>0</v>
      </c>
    </row>
    <row r="599" spans="1:20" ht="47.25">
      <c r="A599" s="43">
        <f>A598+1</f>
        <v>111</v>
      </c>
      <c r="B599" s="47" t="s">
        <v>87</v>
      </c>
      <c r="C599" s="71">
        <v>23</v>
      </c>
      <c r="D599" s="72">
        <v>40885</v>
      </c>
      <c r="E599" s="130" t="s">
        <v>525</v>
      </c>
      <c r="F599" s="130" t="s">
        <v>525</v>
      </c>
      <c r="G599" s="58">
        <v>8</v>
      </c>
      <c r="H599" s="58">
        <v>8</v>
      </c>
      <c r="I599" s="59">
        <v>155.8</v>
      </c>
      <c r="J599" s="71">
        <v>4</v>
      </c>
      <c r="K599" s="71">
        <v>4</v>
      </c>
      <c r="L599" s="71">
        <v>0</v>
      </c>
      <c r="M599" s="59">
        <v>155.8</v>
      </c>
      <c r="N599" s="59">
        <v>155.8</v>
      </c>
      <c r="O599" s="73">
        <v>0</v>
      </c>
      <c r="P599" s="126">
        <f>M599*34150</f>
        <v>5320570</v>
      </c>
      <c r="Q599" s="65">
        <f>P599*0.477206900355</f>
        <v>2539012.7178218025</v>
      </c>
      <c r="R599" s="65">
        <f>P599*0.42279234032</f>
        <v>2249496.2421363825</v>
      </c>
      <c r="S599" s="65">
        <f>P599-Q599-R599</f>
        <v>532061.040041815</v>
      </c>
      <c r="T599" s="65">
        <v>0</v>
      </c>
    </row>
    <row r="600" spans="1:20" ht="31.5">
      <c r="A600" s="43">
        <f>A599+1</f>
        <v>112</v>
      </c>
      <c r="B600" s="47" t="s">
        <v>88</v>
      </c>
      <c r="C600" s="71">
        <v>21</v>
      </c>
      <c r="D600" s="72">
        <v>40885</v>
      </c>
      <c r="E600" s="130" t="s">
        <v>525</v>
      </c>
      <c r="F600" s="130" t="s">
        <v>525</v>
      </c>
      <c r="G600" s="58">
        <v>20</v>
      </c>
      <c r="H600" s="58">
        <v>20</v>
      </c>
      <c r="I600" s="59">
        <v>360.3</v>
      </c>
      <c r="J600" s="71">
        <v>8</v>
      </c>
      <c r="K600" s="71">
        <v>6</v>
      </c>
      <c r="L600" s="71">
        <v>2</v>
      </c>
      <c r="M600" s="59">
        <v>360.3</v>
      </c>
      <c r="N600" s="59">
        <v>258.7</v>
      </c>
      <c r="O600" s="73">
        <v>101.6</v>
      </c>
      <c r="P600" s="126">
        <f>M600*34150</f>
        <v>12304245</v>
      </c>
      <c r="Q600" s="65">
        <f>P600*0.477206900355</f>
        <v>5871670.617658507</v>
      </c>
      <c r="R600" s="65">
        <f>P600*0.42279234032</f>
        <v>5202140.539420659</v>
      </c>
      <c r="S600" s="65">
        <f>P600-Q600-R600</f>
        <v>1230433.8429208342</v>
      </c>
      <c r="T600" s="65">
        <v>0</v>
      </c>
    </row>
    <row r="601" spans="1:20" ht="31.5">
      <c r="A601" s="43">
        <f>A600+1</f>
        <v>113</v>
      </c>
      <c r="B601" s="47" t="s">
        <v>89</v>
      </c>
      <c r="C601" s="74">
        <v>20</v>
      </c>
      <c r="D601" s="79">
        <v>40885</v>
      </c>
      <c r="E601" s="130" t="s">
        <v>525</v>
      </c>
      <c r="F601" s="130" t="s">
        <v>525</v>
      </c>
      <c r="G601" s="74">
        <v>21</v>
      </c>
      <c r="H601" s="74">
        <v>21</v>
      </c>
      <c r="I601" s="82">
        <v>396.9</v>
      </c>
      <c r="J601" s="74">
        <v>8</v>
      </c>
      <c r="K601" s="74">
        <v>5</v>
      </c>
      <c r="L601" s="74">
        <v>3</v>
      </c>
      <c r="M601" s="82">
        <v>396.9</v>
      </c>
      <c r="N601" s="82">
        <v>238.4</v>
      </c>
      <c r="O601" s="82">
        <v>158.5</v>
      </c>
      <c r="P601" s="126">
        <f>M601*34150</f>
        <v>13554135</v>
      </c>
      <c r="Q601" s="65">
        <f>P601*0.477206900355</f>
        <v>6468126.750343218</v>
      </c>
      <c r="R601" s="65">
        <f>P601*0.42279234032</f>
        <v>5730584.457663223</v>
      </c>
      <c r="S601" s="65">
        <f>P601-Q601-R601</f>
        <v>1355423.7919935584</v>
      </c>
      <c r="T601" s="65">
        <v>0</v>
      </c>
    </row>
    <row r="602" spans="1:20" ht="15.75">
      <c r="A602" s="152" t="s">
        <v>90</v>
      </c>
      <c r="B602" s="152"/>
      <c r="C602" s="58"/>
      <c r="D602" s="58"/>
      <c r="E602" s="58"/>
      <c r="F602" s="58"/>
      <c r="G602" s="58">
        <f>G603+G604+G605</f>
        <v>27</v>
      </c>
      <c r="H602" s="58">
        <f aca="true" t="shared" si="210" ref="H602:N602">H603+H604+H605</f>
        <v>27</v>
      </c>
      <c r="I602" s="59">
        <f t="shared" si="210"/>
        <v>373</v>
      </c>
      <c r="J602" s="58">
        <f t="shared" si="210"/>
        <v>11</v>
      </c>
      <c r="K602" s="58">
        <f t="shared" si="210"/>
        <v>4</v>
      </c>
      <c r="L602" s="58">
        <f t="shared" si="210"/>
        <v>7</v>
      </c>
      <c r="M602" s="59">
        <f t="shared" si="210"/>
        <v>373</v>
      </c>
      <c r="N602" s="59">
        <f t="shared" si="210"/>
        <v>108.3</v>
      </c>
      <c r="O602" s="59">
        <f aca="true" t="shared" si="211" ref="O602:T602">O603+O604+O605</f>
        <v>264.7</v>
      </c>
      <c r="P602" s="65">
        <f t="shared" si="211"/>
        <v>12737950</v>
      </c>
      <c r="Q602" s="65">
        <f t="shared" si="211"/>
        <v>6078599.999874556</v>
      </c>
      <c r="R602" s="65">
        <f t="shared" si="211"/>
        <v>5385499.999950175</v>
      </c>
      <c r="S602" s="65">
        <f t="shared" si="211"/>
        <v>1273850.0001752684</v>
      </c>
      <c r="T602" s="65">
        <f t="shared" si="211"/>
        <v>0</v>
      </c>
    </row>
    <row r="603" spans="1:20" ht="31.5">
      <c r="A603" s="43">
        <f>A601+1</f>
        <v>114</v>
      </c>
      <c r="B603" s="57" t="s">
        <v>91</v>
      </c>
      <c r="C603" s="58">
        <v>53</v>
      </c>
      <c r="D603" s="72">
        <v>40569</v>
      </c>
      <c r="E603" s="130" t="s">
        <v>525</v>
      </c>
      <c r="F603" s="130" t="s">
        <v>525</v>
      </c>
      <c r="G603" s="58">
        <v>16</v>
      </c>
      <c r="H603" s="58">
        <v>16</v>
      </c>
      <c r="I603" s="82">
        <v>175</v>
      </c>
      <c r="J603" s="58">
        <v>6</v>
      </c>
      <c r="K603" s="58">
        <v>3</v>
      </c>
      <c r="L603" s="58">
        <v>3</v>
      </c>
      <c r="M603" s="82">
        <v>175</v>
      </c>
      <c r="N603" s="82">
        <v>71.5</v>
      </c>
      <c r="O603" s="59">
        <v>103.5</v>
      </c>
      <c r="P603" s="65">
        <f>M603*34150</f>
        <v>5976250</v>
      </c>
      <c r="Q603" s="65">
        <f>P603*0.47720394568</f>
        <v>2851890.0803701</v>
      </c>
      <c r="R603" s="65">
        <f>P603*0.4227917365</f>
        <v>2526709.115258125</v>
      </c>
      <c r="S603" s="65">
        <f>P603-Q603-R603</f>
        <v>597650.8043717747</v>
      </c>
      <c r="T603" s="65">
        <v>0</v>
      </c>
    </row>
    <row r="604" spans="1:20" ht="31.5">
      <c r="A604" s="43">
        <f>A603+1</f>
        <v>115</v>
      </c>
      <c r="B604" s="57" t="s">
        <v>92</v>
      </c>
      <c r="C604" s="71">
        <v>54</v>
      </c>
      <c r="D604" s="72">
        <v>40569</v>
      </c>
      <c r="E604" s="130" t="s">
        <v>525</v>
      </c>
      <c r="F604" s="130" t="s">
        <v>525</v>
      </c>
      <c r="G604" s="58">
        <v>4</v>
      </c>
      <c r="H604" s="58">
        <v>4</v>
      </c>
      <c r="I604" s="82">
        <v>110</v>
      </c>
      <c r="J604" s="71">
        <v>3</v>
      </c>
      <c r="K604" s="71">
        <v>1</v>
      </c>
      <c r="L604" s="71">
        <v>2</v>
      </c>
      <c r="M604" s="82">
        <v>110</v>
      </c>
      <c r="N604" s="82">
        <v>36.8</v>
      </c>
      <c r="O604" s="73">
        <v>73.2</v>
      </c>
      <c r="P604" s="65">
        <f>M604*34150</f>
        <v>3756500</v>
      </c>
      <c r="Q604" s="65">
        <f>P604*0.47720394568</f>
        <v>1792616.6219469202</v>
      </c>
      <c r="R604" s="65">
        <f>P604*0.4227917365</f>
        <v>1588217.15816225</v>
      </c>
      <c r="S604" s="65">
        <f>P604-Q604-R604</f>
        <v>375666.2198908299</v>
      </c>
      <c r="T604" s="65">
        <v>0</v>
      </c>
    </row>
    <row r="605" spans="1:20" ht="31.5">
      <c r="A605" s="10">
        <f>A604+1</f>
        <v>116</v>
      </c>
      <c r="B605" s="94" t="s">
        <v>93</v>
      </c>
      <c r="C605" s="32">
        <v>88</v>
      </c>
      <c r="D605" s="51">
        <v>40569</v>
      </c>
      <c r="E605" s="88" t="s">
        <v>525</v>
      </c>
      <c r="F605" s="88" t="s">
        <v>525</v>
      </c>
      <c r="G605" s="34">
        <v>7</v>
      </c>
      <c r="H605" s="34">
        <v>7</v>
      </c>
      <c r="I605" s="62">
        <v>88</v>
      </c>
      <c r="J605" s="32">
        <v>2</v>
      </c>
      <c r="K605" s="32">
        <v>0</v>
      </c>
      <c r="L605" s="32">
        <v>2</v>
      </c>
      <c r="M605" s="62">
        <v>88</v>
      </c>
      <c r="N605" s="62">
        <v>0</v>
      </c>
      <c r="O605" s="35">
        <v>88</v>
      </c>
      <c r="P605" s="87">
        <f>M605*34150</f>
        <v>3005200</v>
      </c>
      <c r="Q605" s="87">
        <f>P605*0.47720394568</f>
        <v>1434093.297557536</v>
      </c>
      <c r="R605" s="87">
        <f>P605*0.4227917365</f>
        <v>1270573.7265298</v>
      </c>
      <c r="S605" s="87">
        <f>P605-Q605-R605</f>
        <v>300532.97591266385</v>
      </c>
      <c r="T605" s="63">
        <v>0</v>
      </c>
    </row>
    <row r="606" spans="13:20" ht="12.75">
      <c r="M606" s="101"/>
      <c r="N606" s="101"/>
      <c r="O606" s="101"/>
      <c r="P606" s="101"/>
      <c r="Q606" s="101"/>
      <c r="R606" s="101"/>
      <c r="S606" s="101"/>
      <c r="T606" s="101"/>
    </row>
    <row r="607" spans="1:9" ht="18.75">
      <c r="A607" s="141" t="s">
        <v>644</v>
      </c>
      <c r="B607" s="142"/>
      <c r="C607" s="142"/>
      <c r="D607" s="142"/>
      <c r="E607" s="142"/>
      <c r="F607" s="142"/>
      <c r="G607" s="142"/>
      <c r="H607" s="142"/>
      <c r="I607" s="142"/>
    </row>
    <row r="608" spans="1:9" ht="18.75">
      <c r="A608" s="141" t="s">
        <v>701</v>
      </c>
      <c r="B608" s="141"/>
      <c r="C608" s="141"/>
      <c r="D608" s="141"/>
      <c r="E608" s="142"/>
      <c r="F608" s="142"/>
      <c r="G608" s="142"/>
      <c r="H608" s="142"/>
      <c r="I608" s="142"/>
    </row>
    <row r="609" spans="1:9" ht="18.75">
      <c r="A609" s="141" t="s">
        <v>703</v>
      </c>
      <c r="B609" s="141"/>
      <c r="C609" s="141"/>
      <c r="D609" s="141"/>
      <c r="E609" s="142"/>
      <c r="F609" s="142"/>
      <c r="G609" s="142"/>
      <c r="H609" s="142"/>
      <c r="I609" s="142"/>
    </row>
    <row r="610" spans="1:9" ht="18.75">
      <c r="A610" s="141" t="s">
        <v>702</v>
      </c>
      <c r="B610" s="141"/>
      <c r="C610" s="141"/>
      <c r="D610" s="141"/>
      <c r="E610" s="142"/>
      <c r="F610" s="142"/>
      <c r="G610" s="142"/>
      <c r="H610" s="142"/>
      <c r="I610" s="142"/>
    </row>
  </sheetData>
  <sheetProtection/>
  <mergeCells count="76">
    <mergeCell ref="A602:B602"/>
    <mergeCell ref="A160:B160"/>
    <mergeCell ref="A144:B144"/>
    <mergeCell ref="A453:B453"/>
    <mergeCell ref="A586:B586"/>
    <mergeCell ref="A589:B589"/>
    <mergeCell ref="A181:B181"/>
    <mergeCell ref="A465:B465"/>
    <mergeCell ref="A596:B596"/>
    <mergeCell ref="A184:B184"/>
    <mergeCell ref="A86:B86"/>
    <mergeCell ref="A238:B238"/>
    <mergeCell ref="A155:B155"/>
    <mergeCell ref="A168:B168"/>
    <mergeCell ref="A201:B201"/>
    <mergeCell ref="A124:B124"/>
    <mergeCell ref="A225:B225"/>
    <mergeCell ref="A427:B427"/>
    <mergeCell ref="A195:B195"/>
    <mergeCell ref="A197:B197"/>
    <mergeCell ref="A471:B471"/>
    <mergeCell ref="A2:T2"/>
    <mergeCell ref="N1:T1"/>
    <mergeCell ref="A10:B10"/>
    <mergeCell ref="A202:B202"/>
    <mergeCell ref="A44:B44"/>
    <mergeCell ref="A4:A7"/>
    <mergeCell ref="B4:B7"/>
    <mergeCell ref="C4:D5"/>
    <mergeCell ref="E4:E7"/>
    <mergeCell ref="C6:C7"/>
    <mergeCell ref="D6:D7"/>
    <mergeCell ref="F4:F7"/>
    <mergeCell ref="G4:G6"/>
    <mergeCell ref="H4:H6"/>
    <mergeCell ref="I4:I6"/>
    <mergeCell ref="J4:L4"/>
    <mergeCell ref="M4:O4"/>
    <mergeCell ref="P4:S4"/>
    <mergeCell ref="T4:T6"/>
    <mergeCell ref="J5:J6"/>
    <mergeCell ref="K5:L5"/>
    <mergeCell ref="M5:M6"/>
    <mergeCell ref="N5:O5"/>
    <mergeCell ref="P5:P6"/>
    <mergeCell ref="Q5:S5"/>
    <mergeCell ref="A8:B8"/>
    <mergeCell ref="A9:B9"/>
    <mergeCell ref="A476:B476"/>
    <mergeCell ref="A53:B53"/>
    <mergeCell ref="A62:B62"/>
    <mergeCell ref="A88:B88"/>
    <mergeCell ref="A366:B366"/>
    <mergeCell ref="A34:B34"/>
    <mergeCell ref="A130:B130"/>
    <mergeCell ref="A432:B432"/>
    <mergeCell ref="A584:B584"/>
    <mergeCell ref="A140:B140"/>
    <mergeCell ref="A451:B451"/>
    <mergeCell ref="A149:B149"/>
    <mergeCell ref="A566:B566"/>
    <mergeCell ref="A581:B581"/>
    <mergeCell ref="A530:B530"/>
    <mergeCell ref="A527:B527"/>
    <mergeCell ref="A249:B249"/>
    <mergeCell ref="A502:B502"/>
    <mergeCell ref="A553:B553"/>
    <mergeCell ref="A409:B409"/>
    <mergeCell ref="A99:B99"/>
    <mergeCell ref="A395:B395"/>
    <mergeCell ref="A114:B114"/>
    <mergeCell ref="A362:B362"/>
    <mergeCell ref="A496:B496"/>
    <mergeCell ref="A458:B458"/>
    <mergeCell ref="A475:B475"/>
    <mergeCell ref="A483:B48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0"/>
  <sheetViews>
    <sheetView zoomScale="70" zoomScaleNormal="70" zoomScalePageLayoutView="0" workbookViewId="0" topLeftCell="F1">
      <selection activeCell="A1" sqref="A1:IV16384"/>
    </sheetView>
  </sheetViews>
  <sheetFormatPr defaultColWidth="9.140625" defaultRowHeight="12.75"/>
  <cols>
    <col min="1" max="1" width="5.00390625" style="0" bestFit="1" customWidth="1"/>
    <col min="2" max="2" width="70.28125" style="0" bestFit="1" customWidth="1"/>
    <col min="3" max="4" width="10.57421875" style="0" bestFit="1" customWidth="1"/>
    <col min="5" max="5" width="5.421875" style="0" bestFit="1" customWidth="1"/>
    <col min="6" max="6" width="5.7109375" style="0" bestFit="1" customWidth="1"/>
    <col min="7" max="7" width="10.28125" style="0" bestFit="1" customWidth="1"/>
    <col min="8" max="8" width="10.57421875" style="0" bestFit="1" customWidth="1"/>
    <col min="9" max="9" width="13.8515625" style="0" bestFit="1" customWidth="1"/>
    <col min="10" max="10" width="10.57421875" style="0" bestFit="1" customWidth="1"/>
    <col min="11" max="11" width="5.421875" style="0" bestFit="1" customWidth="1"/>
    <col min="12" max="12" width="5.7109375" style="0" bestFit="1" customWidth="1"/>
    <col min="13" max="13" width="10.28125" style="0" bestFit="1" customWidth="1"/>
    <col min="14" max="14" width="5.421875" style="0" bestFit="1" customWidth="1"/>
    <col min="15" max="15" width="5.7109375" style="0" bestFit="1" customWidth="1"/>
    <col min="16" max="16" width="10.28125" style="0" bestFit="1" customWidth="1"/>
    <col min="17" max="17" width="13.8515625" style="0" bestFit="1" customWidth="1"/>
    <col min="18" max="18" width="114.421875" style="0" customWidth="1"/>
    <col min="19" max="19" width="74.57421875" style="0" bestFit="1" customWidth="1"/>
    <col min="20" max="20" width="83.8515625" style="0" bestFit="1" customWidth="1"/>
  </cols>
  <sheetData>
    <row r="1" spans="1:20" ht="2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6" t="s">
        <v>94</v>
      </c>
      <c r="N1" s="176"/>
      <c r="O1" s="176"/>
      <c r="P1" s="176"/>
      <c r="Q1" s="176"/>
      <c r="R1" s="176"/>
      <c r="S1" s="176"/>
      <c r="T1" s="176"/>
    </row>
    <row r="2" spans="1:20" ht="18.75">
      <c r="A2" s="175" t="s">
        <v>553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166" t="s">
        <v>710</v>
      </c>
      <c r="B4" s="178" t="s">
        <v>530</v>
      </c>
      <c r="C4" s="178" t="s">
        <v>554</v>
      </c>
      <c r="D4" s="178"/>
      <c r="E4" s="178" t="s">
        <v>646</v>
      </c>
      <c r="F4" s="178"/>
      <c r="G4" s="178"/>
      <c r="H4" s="178" t="s">
        <v>647</v>
      </c>
      <c r="I4" s="178"/>
      <c r="J4" s="178"/>
      <c r="K4" s="178" t="s">
        <v>648</v>
      </c>
      <c r="L4" s="178"/>
      <c r="M4" s="178"/>
      <c r="N4" s="178" t="s">
        <v>649</v>
      </c>
      <c r="O4" s="178"/>
      <c r="P4" s="178"/>
      <c r="Q4" s="182" t="s">
        <v>555</v>
      </c>
      <c r="R4" s="177" t="s">
        <v>556</v>
      </c>
      <c r="S4" s="177" t="s">
        <v>557</v>
      </c>
      <c r="T4" s="177" t="s">
        <v>695</v>
      </c>
    </row>
    <row r="5" spans="1:20" ht="66.75">
      <c r="A5" s="167"/>
      <c r="B5" s="178"/>
      <c r="C5" s="174" t="s">
        <v>558</v>
      </c>
      <c r="D5" s="15" t="s">
        <v>640</v>
      </c>
      <c r="E5" s="174" t="s">
        <v>559</v>
      </c>
      <c r="F5" s="174" t="s">
        <v>560</v>
      </c>
      <c r="G5" s="159" t="s">
        <v>561</v>
      </c>
      <c r="H5" s="174" t="s">
        <v>559</v>
      </c>
      <c r="I5" s="174" t="s">
        <v>560</v>
      </c>
      <c r="J5" s="159" t="s">
        <v>561</v>
      </c>
      <c r="K5" s="174" t="s">
        <v>559</v>
      </c>
      <c r="L5" s="174" t="s">
        <v>560</v>
      </c>
      <c r="M5" s="159" t="s">
        <v>561</v>
      </c>
      <c r="N5" s="174" t="s">
        <v>559</v>
      </c>
      <c r="O5" s="174" t="s">
        <v>560</v>
      </c>
      <c r="P5" s="159" t="s">
        <v>561</v>
      </c>
      <c r="Q5" s="182"/>
      <c r="R5" s="177"/>
      <c r="S5" s="177"/>
      <c r="T5" s="177"/>
    </row>
    <row r="6" spans="1:20" ht="125.25">
      <c r="A6" s="168"/>
      <c r="B6" s="178"/>
      <c r="C6" s="174"/>
      <c r="D6" s="15" t="s">
        <v>544</v>
      </c>
      <c r="E6" s="174"/>
      <c r="F6" s="174"/>
      <c r="G6" s="159"/>
      <c r="H6" s="174"/>
      <c r="I6" s="174"/>
      <c r="J6" s="159"/>
      <c r="K6" s="174"/>
      <c r="L6" s="174"/>
      <c r="M6" s="159"/>
      <c r="N6" s="174"/>
      <c r="O6" s="174"/>
      <c r="P6" s="159"/>
      <c r="Q6" s="182"/>
      <c r="R6" s="177"/>
      <c r="S6" s="177"/>
      <c r="T6" s="177"/>
    </row>
    <row r="7" spans="1:20" ht="15.75">
      <c r="A7" s="102"/>
      <c r="B7" s="102"/>
      <c r="C7" s="30" t="s">
        <v>550</v>
      </c>
      <c r="D7" s="30" t="s">
        <v>550</v>
      </c>
      <c r="E7" s="30" t="s">
        <v>550</v>
      </c>
      <c r="F7" s="30" t="s">
        <v>552</v>
      </c>
      <c r="G7" s="30" t="s">
        <v>552</v>
      </c>
      <c r="H7" s="30" t="s">
        <v>550</v>
      </c>
      <c r="I7" s="30" t="s">
        <v>552</v>
      </c>
      <c r="J7" s="30" t="s">
        <v>552</v>
      </c>
      <c r="K7" s="30" t="s">
        <v>550</v>
      </c>
      <c r="L7" s="30" t="s">
        <v>552</v>
      </c>
      <c r="M7" s="30" t="s">
        <v>552</v>
      </c>
      <c r="N7" s="30" t="s">
        <v>550</v>
      </c>
      <c r="O7" s="30" t="s">
        <v>552</v>
      </c>
      <c r="P7" s="30" t="s">
        <v>552</v>
      </c>
      <c r="Q7" s="30" t="s">
        <v>552</v>
      </c>
      <c r="R7" s="30" t="s">
        <v>552</v>
      </c>
      <c r="S7" s="30" t="s">
        <v>552</v>
      </c>
      <c r="T7" s="90" t="s">
        <v>552</v>
      </c>
    </row>
    <row r="8" spans="1:20" ht="15.75">
      <c r="A8" s="183" t="s">
        <v>569</v>
      </c>
      <c r="B8" s="183"/>
      <c r="C8" s="69">
        <v>85201.04</v>
      </c>
      <c r="D8" s="69">
        <v>44362.36</v>
      </c>
      <c r="E8" s="34"/>
      <c r="F8" s="34"/>
      <c r="G8" s="34"/>
      <c r="H8" s="69">
        <v>85201.04</v>
      </c>
      <c r="I8" s="70">
        <v>2909615515.5</v>
      </c>
      <c r="J8" s="31">
        <f>I8/H8</f>
        <v>34149.99999413153</v>
      </c>
      <c r="K8" s="34"/>
      <c r="L8" s="34"/>
      <c r="M8" s="34"/>
      <c r="N8" s="34"/>
      <c r="O8" s="34"/>
      <c r="P8" s="34"/>
      <c r="Q8" s="70">
        <f>I8</f>
        <v>2909615515.5</v>
      </c>
      <c r="R8" s="63">
        <v>11291698.5</v>
      </c>
      <c r="S8" s="31">
        <v>34150</v>
      </c>
      <c r="T8" s="31">
        <v>25612.5</v>
      </c>
    </row>
    <row r="9" spans="1:20" ht="15.75">
      <c r="A9" s="179" t="s">
        <v>570</v>
      </c>
      <c r="B9" s="179"/>
      <c r="C9" s="69">
        <v>31221.02</v>
      </c>
      <c r="D9" s="69">
        <v>14393.22</v>
      </c>
      <c r="E9" s="34"/>
      <c r="F9" s="34"/>
      <c r="G9" s="34"/>
      <c r="H9" s="69">
        <v>31221.02</v>
      </c>
      <c r="I9" s="70">
        <v>1066197833</v>
      </c>
      <c r="J9" s="31">
        <f aca="true" t="shared" si="0" ref="J9:J72">I9/H9</f>
        <v>34150</v>
      </c>
      <c r="K9" s="34"/>
      <c r="L9" s="34"/>
      <c r="M9" s="34"/>
      <c r="N9" s="34"/>
      <c r="O9" s="34"/>
      <c r="P9" s="34"/>
      <c r="Q9" s="70">
        <f aca="true" t="shared" si="1" ref="Q9:Q72">I9</f>
        <v>1066197833</v>
      </c>
      <c r="R9" s="63">
        <v>7922459.5</v>
      </c>
      <c r="S9" s="31">
        <v>34150</v>
      </c>
      <c r="T9" s="31">
        <f>S9/4*3</f>
        <v>25612.5</v>
      </c>
    </row>
    <row r="10" spans="1:20" ht="15.75">
      <c r="A10" s="181" t="s">
        <v>614</v>
      </c>
      <c r="B10" s="181"/>
      <c r="C10" s="68">
        <v>3475.49</v>
      </c>
      <c r="D10" s="69">
        <v>930.18</v>
      </c>
      <c r="E10" s="34"/>
      <c r="F10" s="34"/>
      <c r="G10" s="34"/>
      <c r="H10" s="68">
        <v>3475.49</v>
      </c>
      <c r="I10" s="70">
        <v>118687983.5</v>
      </c>
      <c r="J10" s="31">
        <f t="shared" si="0"/>
        <v>34150</v>
      </c>
      <c r="K10" s="34"/>
      <c r="L10" s="34"/>
      <c r="M10" s="34"/>
      <c r="N10" s="34"/>
      <c r="O10" s="34"/>
      <c r="P10" s="34"/>
      <c r="Q10" s="70">
        <f t="shared" si="1"/>
        <v>118687983.5</v>
      </c>
      <c r="R10" s="63">
        <v>3375728</v>
      </c>
      <c r="S10" s="31">
        <v>34150</v>
      </c>
      <c r="T10" s="31">
        <f aca="true" t="shared" si="2" ref="T10:T73">S10/4*3</f>
        <v>25612.5</v>
      </c>
    </row>
    <row r="11" spans="1:20" ht="47.25">
      <c r="A11" s="19">
        <v>1</v>
      </c>
      <c r="B11" s="20" t="s">
        <v>591</v>
      </c>
      <c r="C11" s="69">
        <v>140.29</v>
      </c>
      <c r="D11" s="69">
        <v>0</v>
      </c>
      <c r="E11" s="34"/>
      <c r="F11" s="34"/>
      <c r="G11" s="34"/>
      <c r="H11" s="69">
        <v>140.29</v>
      </c>
      <c r="I11" s="70">
        <v>4790903.5</v>
      </c>
      <c r="J11" s="31">
        <f t="shared" si="0"/>
        <v>34150</v>
      </c>
      <c r="K11" s="34"/>
      <c r="L11" s="34"/>
      <c r="M11" s="34"/>
      <c r="N11" s="34"/>
      <c r="O11" s="34"/>
      <c r="P11" s="34"/>
      <c r="Q11" s="70">
        <f t="shared" si="1"/>
        <v>4790903.5</v>
      </c>
      <c r="R11" s="63">
        <v>887900</v>
      </c>
      <c r="S11" s="31">
        <v>34150</v>
      </c>
      <c r="T11" s="31">
        <f t="shared" si="2"/>
        <v>25612.5</v>
      </c>
    </row>
    <row r="12" spans="1:20" ht="47.25">
      <c r="A12" s="19">
        <f>A11+1</f>
        <v>2</v>
      </c>
      <c r="B12" s="20" t="s">
        <v>592</v>
      </c>
      <c r="C12" s="59">
        <v>203.71</v>
      </c>
      <c r="D12" s="69">
        <v>34.5</v>
      </c>
      <c r="E12" s="34"/>
      <c r="F12" s="34"/>
      <c r="G12" s="34"/>
      <c r="H12" s="59">
        <v>203.71</v>
      </c>
      <c r="I12" s="70">
        <v>6956696.5</v>
      </c>
      <c r="J12" s="31">
        <f t="shared" si="0"/>
        <v>34150</v>
      </c>
      <c r="K12" s="34"/>
      <c r="L12" s="34"/>
      <c r="M12" s="34"/>
      <c r="N12" s="34"/>
      <c r="O12" s="34"/>
      <c r="P12" s="34"/>
      <c r="Q12" s="70">
        <f t="shared" si="1"/>
        <v>6956696.5</v>
      </c>
      <c r="R12" s="63">
        <v>0</v>
      </c>
      <c r="S12" s="31">
        <v>34150</v>
      </c>
      <c r="T12" s="31">
        <f t="shared" si="2"/>
        <v>25612.5</v>
      </c>
    </row>
    <row r="13" spans="1:20" ht="47.25">
      <c r="A13" s="19">
        <f aca="true" t="shared" si="3" ref="A13:A33">A12+1</f>
        <v>3</v>
      </c>
      <c r="B13" s="21" t="s">
        <v>593</v>
      </c>
      <c r="C13" s="59">
        <v>133.11</v>
      </c>
      <c r="D13" s="69">
        <v>67.7</v>
      </c>
      <c r="E13" s="34"/>
      <c r="F13" s="34"/>
      <c r="G13" s="34"/>
      <c r="H13" s="59">
        <v>133.11</v>
      </c>
      <c r="I13" s="70">
        <v>4545706.5</v>
      </c>
      <c r="J13" s="31">
        <f t="shared" si="0"/>
        <v>34150</v>
      </c>
      <c r="K13" s="34"/>
      <c r="L13" s="34"/>
      <c r="M13" s="34"/>
      <c r="N13" s="34"/>
      <c r="O13" s="34"/>
      <c r="P13" s="34"/>
      <c r="Q13" s="70">
        <f t="shared" si="1"/>
        <v>4545706.5</v>
      </c>
      <c r="R13" s="63">
        <v>0</v>
      </c>
      <c r="S13" s="31">
        <v>34150</v>
      </c>
      <c r="T13" s="31">
        <f t="shared" si="2"/>
        <v>25612.5</v>
      </c>
    </row>
    <row r="14" spans="1:20" ht="47.25">
      <c r="A14" s="19">
        <f t="shared" si="3"/>
        <v>4</v>
      </c>
      <c r="B14" s="21" t="s">
        <v>594</v>
      </c>
      <c r="C14" s="59">
        <v>241.02</v>
      </c>
      <c r="D14" s="69">
        <v>0</v>
      </c>
      <c r="E14" s="34"/>
      <c r="F14" s="34"/>
      <c r="G14" s="34"/>
      <c r="H14" s="59">
        <v>241.02</v>
      </c>
      <c r="I14" s="70">
        <v>8230833</v>
      </c>
      <c r="J14" s="31">
        <f t="shared" si="0"/>
        <v>34150</v>
      </c>
      <c r="K14" s="34"/>
      <c r="L14" s="34"/>
      <c r="M14" s="34"/>
      <c r="N14" s="34"/>
      <c r="O14" s="34"/>
      <c r="P14" s="34"/>
      <c r="Q14" s="70">
        <f t="shared" si="1"/>
        <v>8230833</v>
      </c>
      <c r="R14" s="63">
        <v>0</v>
      </c>
      <c r="S14" s="31">
        <v>34150</v>
      </c>
      <c r="T14" s="31">
        <f t="shared" si="2"/>
        <v>25612.5</v>
      </c>
    </row>
    <row r="15" spans="1:20" ht="47.25">
      <c r="A15" s="19">
        <f t="shared" si="3"/>
        <v>5</v>
      </c>
      <c r="B15" s="21" t="s">
        <v>595</v>
      </c>
      <c r="C15" s="59">
        <v>184.1</v>
      </c>
      <c r="D15" s="69">
        <v>24</v>
      </c>
      <c r="E15" s="34"/>
      <c r="F15" s="34"/>
      <c r="G15" s="34"/>
      <c r="H15" s="59">
        <v>184.1</v>
      </c>
      <c r="I15" s="70">
        <v>6287015</v>
      </c>
      <c r="J15" s="31">
        <f t="shared" si="0"/>
        <v>34150</v>
      </c>
      <c r="K15" s="34"/>
      <c r="L15" s="34"/>
      <c r="M15" s="34"/>
      <c r="N15" s="34"/>
      <c r="O15" s="34"/>
      <c r="P15" s="34"/>
      <c r="Q15" s="70">
        <f t="shared" si="1"/>
        <v>6287015</v>
      </c>
      <c r="R15" s="63">
        <v>0</v>
      </c>
      <c r="S15" s="31">
        <v>34150</v>
      </c>
      <c r="T15" s="31">
        <f t="shared" si="2"/>
        <v>25612.5</v>
      </c>
    </row>
    <row r="16" spans="1:20" ht="47.25">
      <c r="A16" s="19">
        <f t="shared" si="3"/>
        <v>6</v>
      </c>
      <c r="B16" s="21" t="s">
        <v>596</v>
      </c>
      <c r="C16" s="59">
        <v>119.44</v>
      </c>
      <c r="D16" s="69">
        <v>0</v>
      </c>
      <c r="E16" s="34"/>
      <c r="F16" s="34"/>
      <c r="G16" s="34"/>
      <c r="H16" s="59">
        <v>119.44</v>
      </c>
      <c r="I16" s="70">
        <v>4078876</v>
      </c>
      <c r="J16" s="31">
        <f t="shared" si="0"/>
        <v>34150</v>
      </c>
      <c r="K16" s="34"/>
      <c r="L16" s="34"/>
      <c r="M16" s="34"/>
      <c r="N16" s="34"/>
      <c r="O16" s="34"/>
      <c r="P16" s="34"/>
      <c r="Q16" s="70">
        <f t="shared" si="1"/>
        <v>4078876</v>
      </c>
      <c r="R16" s="63">
        <v>0</v>
      </c>
      <c r="S16" s="31">
        <v>34150</v>
      </c>
      <c r="T16" s="31">
        <f t="shared" si="2"/>
        <v>25612.5</v>
      </c>
    </row>
    <row r="17" spans="1:20" ht="47.25">
      <c r="A17" s="19">
        <f t="shared" si="3"/>
        <v>7</v>
      </c>
      <c r="B17" s="21" t="s">
        <v>597</v>
      </c>
      <c r="C17" s="59">
        <v>140.1</v>
      </c>
      <c r="D17" s="69">
        <v>140.1</v>
      </c>
      <c r="E17" s="34"/>
      <c r="F17" s="34"/>
      <c r="G17" s="34"/>
      <c r="H17" s="59">
        <v>140.1</v>
      </c>
      <c r="I17" s="70">
        <v>4784415</v>
      </c>
      <c r="J17" s="31">
        <f t="shared" si="0"/>
        <v>34150</v>
      </c>
      <c r="K17" s="34"/>
      <c r="L17" s="34"/>
      <c r="M17" s="34"/>
      <c r="N17" s="34"/>
      <c r="O17" s="34"/>
      <c r="P17" s="34"/>
      <c r="Q17" s="70">
        <f t="shared" si="1"/>
        <v>4784415</v>
      </c>
      <c r="R17" s="63">
        <v>0</v>
      </c>
      <c r="S17" s="31">
        <v>34150</v>
      </c>
      <c r="T17" s="31">
        <f t="shared" si="2"/>
        <v>25612.5</v>
      </c>
    </row>
    <row r="18" spans="1:20" ht="47.25">
      <c r="A18" s="19">
        <f t="shared" si="3"/>
        <v>8</v>
      </c>
      <c r="B18" s="21" t="s">
        <v>598</v>
      </c>
      <c r="C18" s="59">
        <v>111.3</v>
      </c>
      <c r="D18" s="69">
        <v>111.3</v>
      </c>
      <c r="E18" s="34"/>
      <c r="F18" s="34"/>
      <c r="G18" s="34"/>
      <c r="H18" s="59">
        <v>111.3</v>
      </c>
      <c r="I18" s="70">
        <v>3800895</v>
      </c>
      <c r="J18" s="31">
        <f t="shared" si="0"/>
        <v>34150</v>
      </c>
      <c r="K18" s="34"/>
      <c r="L18" s="34"/>
      <c r="M18" s="34"/>
      <c r="N18" s="34"/>
      <c r="O18" s="34"/>
      <c r="P18" s="34"/>
      <c r="Q18" s="70">
        <f t="shared" si="1"/>
        <v>3800895</v>
      </c>
      <c r="R18" s="63">
        <v>0</v>
      </c>
      <c r="S18" s="31">
        <v>34150</v>
      </c>
      <c r="T18" s="31">
        <f t="shared" si="2"/>
        <v>25612.5</v>
      </c>
    </row>
    <row r="19" spans="1:20" ht="47.25">
      <c r="A19" s="19">
        <f t="shared" si="3"/>
        <v>9</v>
      </c>
      <c r="B19" s="21" t="s">
        <v>599</v>
      </c>
      <c r="C19" s="59">
        <v>216.1</v>
      </c>
      <c r="D19" s="69">
        <v>65.5</v>
      </c>
      <c r="E19" s="34"/>
      <c r="F19" s="34"/>
      <c r="G19" s="34"/>
      <c r="H19" s="59">
        <v>216.1</v>
      </c>
      <c r="I19" s="70">
        <v>7379815</v>
      </c>
      <c r="J19" s="31">
        <f t="shared" si="0"/>
        <v>34150</v>
      </c>
      <c r="K19" s="34"/>
      <c r="L19" s="34"/>
      <c r="M19" s="34"/>
      <c r="N19" s="34"/>
      <c r="O19" s="34"/>
      <c r="P19" s="34"/>
      <c r="Q19" s="70">
        <f t="shared" si="1"/>
        <v>7379815</v>
      </c>
      <c r="R19" s="63">
        <v>0</v>
      </c>
      <c r="S19" s="31">
        <v>34150</v>
      </c>
      <c r="T19" s="31">
        <f t="shared" si="2"/>
        <v>25612.5</v>
      </c>
    </row>
    <row r="20" spans="1:20" ht="47.25">
      <c r="A20" s="19">
        <f t="shared" si="3"/>
        <v>10</v>
      </c>
      <c r="B20" s="21" t="s">
        <v>600</v>
      </c>
      <c r="C20" s="59">
        <v>177.77</v>
      </c>
      <c r="D20" s="69">
        <v>0</v>
      </c>
      <c r="E20" s="34"/>
      <c r="F20" s="34"/>
      <c r="G20" s="34"/>
      <c r="H20" s="59">
        <v>177.77</v>
      </c>
      <c r="I20" s="70">
        <v>6070845.5</v>
      </c>
      <c r="J20" s="31">
        <f t="shared" si="0"/>
        <v>34150</v>
      </c>
      <c r="K20" s="34"/>
      <c r="L20" s="34"/>
      <c r="M20" s="34"/>
      <c r="N20" s="34"/>
      <c r="O20" s="34"/>
      <c r="P20" s="34"/>
      <c r="Q20" s="70">
        <f t="shared" si="1"/>
        <v>6070845.5</v>
      </c>
      <c r="R20" s="63">
        <v>0</v>
      </c>
      <c r="S20" s="31">
        <v>34150</v>
      </c>
      <c r="T20" s="31">
        <f t="shared" si="2"/>
        <v>25612.5</v>
      </c>
    </row>
    <row r="21" spans="1:20" ht="47.25">
      <c r="A21" s="19">
        <f t="shared" si="3"/>
        <v>11</v>
      </c>
      <c r="B21" s="21" t="s">
        <v>601</v>
      </c>
      <c r="C21" s="59">
        <v>97.6</v>
      </c>
      <c r="D21" s="69">
        <v>97.6</v>
      </c>
      <c r="E21" s="34"/>
      <c r="F21" s="34"/>
      <c r="G21" s="34"/>
      <c r="H21" s="59">
        <v>97.6</v>
      </c>
      <c r="I21" s="70">
        <v>3333040</v>
      </c>
      <c r="J21" s="31">
        <f t="shared" si="0"/>
        <v>34150</v>
      </c>
      <c r="K21" s="34"/>
      <c r="L21" s="34"/>
      <c r="M21" s="34"/>
      <c r="N21" s="34"/>
      <c r="O21" s="34"/>
      <c r="P21" s="34"/>
      <c r="Q21" s="70">
        <f t="shared" si="1"/>
        <v>3333040</v>
      </c>
      <c r="R21" s="63">
        <v>0</v>
      </c>
      <c r="S21" s="31">
        <v>34150</v>
      </c>
      <c r="T21" s="31">
        <f t="shared" si="2"/>
        <v>25612.5</v>
      </c>
    </row>
    <row r="22" spans="1:20" ht="47.25">
      <c r="A22" s="19">
        <f t="shared" si="3"/>
        <v>12</v>
      </c>
      <c r="B22" s="21" t="s">
        <v>602</v>
      </c>
      <c r="C22" s="59">
        <v>61.7</v>
      </c>
      <c r="D22" s="69">
        <v>25.7</v>
      </c>
      <c r="E22" s="34"/>
      <c r="F22" s="34"/>
      <c r="G22" s="34"/>
      <c r="H22" s="59">
        <v>61.7</v>
      </c>
      <c r="I22" s="70">
        <v>2107055</v>
      </c>
      <c r="J22" s="31">
        <f t="shared" si="0"/>
        <v>34150</v>
      </c>
      <c r="K22" s="34"/>
      <c r="L22" s="34"/>
      <c r="M22" s="34"/>
      <c r="N22" s="34"/>
      <c r="O22" s="34"/>
      <c r="P22" s="34"/>
      <c r="Q22" s="70">
        <f t="shared" si="1"/>
        <v>2107055</v>
      </c>
      <c r="R22" s="63">
        <v>0</v>
      </c>
      <c r="S22" s="31">
        <v>34150</v>
      </c>
      <c r="T22" s="31">
        <f t="shared" si="2"/>
        <v>25612.5</v>
      </c>
    </row>
    <row r="23" spans="1:20" ht="47.25">
      <c r="A23" s="19">
        <f t="shared" si="3"/>
        <v>13</v>
      </c>
      <c r="B23" s="21" t="s">
        <v>603</v>
      </c>
      <c r="C23" s="59">
        <v>255.16</v>
      </c>
      <c r="D23" s="69">
        <v>0</v>
      </c>
      <c r="E23" s="34"/>
      <c r="F23" s="34"/>
      <c r="G23" s="34"/>
      <c r="H23" s="59">
        <v>255.16</v>
      </c>
      <c r="I23" s="70">
        <v>8713714</v>
      </c>
      <c r="J23" s="31">
        <f t="shared" si="0"/>
        <v>34150</v>
      </c>
      <c r="K23" s="34"/>
      <c r="L23" s="34"/>
      <c r="M23" s="34"/>
      <c r="N23" s="34"/>
      <c r="O23" s="34"/>
      <c r="P23" s="34"/>
      <c r="Q23" s="70">
        <f t="shared" si="1"/>
        <v>8713714</v>
      </c>
      <c r="R23" s="63">
        <v>2482705</v>
      </c>
      <c r="S23" s="31">
        <v>34150</v>
      </c>
      <c r="T23" s="31">
        <f t="shared" si="2"/>
        <v>25612.5</v>
      </c>
    </row>
    <row r="24" spans="1:20" ht="47.25">
      <c r="A24" s="19">
        <f t="shared" si="3"/>
        <v>14</v>
      </c>
      <c r="B24" s="21" t="s">
        <v>604</v>
      </c>
      <c r="C24" s="59">
        <v>301.47</v>
      </c>
      <c r="D24" s="69">
        <v>0</v>
      </c>
      <c r="E24" s="34"/>
      <c r="F24" s="34"/>
      <c r="G24" s="34"/>
      <c r="H24" s="59">
        <v>301.47</v>
      </c>
      <c r="I24" s="70">
        <v>10295200.5</v>
      </c>
      <c r="J24" s="31">
        <f t="shared" si="0"/>
        <v>34150</v>
      </c>
      <c r="K24" s="34"/>
      <c r="L24" s="34"/>
      <c r="M24" s="34"/>
      <c r="N24" s="34"/>
      <c r="O24" s="34"/>
      <c r="P24" s="34"/>
      <c r="Q24" s="70">
        <f t="shared" si="1"/>
        <v>10295200.5</v>
      </c>
      <c r="R24" s="63">
        <v>0</v>
      </c>
      <c r="S24" s="31">
        <v>34150</v>
      </c>
      <c r="T24" s="31">
        <f t="shared" si="2"/>
        <v>25612.5</v>
      </c>
    </row>
    <row r="25" spans="1:20" ht="47.25">
      <c r="A25" s="19">
        <f t="shared" si="3"/>
        <v>15</v>
      </c>
      <c r="B25" s="21" t="s">
        <v>605</v>
      </c>
      <c r="C25" s="59">
        <v>103.48</v>
      </c>
      <c r="D25" s="69">
        <v>54.58</v>
      </c>
      <c r="E25" s="34"/>
      <c r="F25" s="34"/>
      <c r="G25" s="34"/>
      <c r="H25" s="59">
        <v>103.48</v>
      </c>
      <c r="I25" s="70">
        <v>3533842</v>
      </c>
      <c r="J25" s="31">
        <f t="shared" si="0"/>
        <v>34150</v>
      </c>
      <c r="K25" s="34"/>
      <c r="L25" s="34"/>
      <c r="M25" s="34"/>
      <c r="N25" s="34"/>
      <c r="O25" s="34"/>
      <c r="P25" s="34"/>
      <c r="Q25" s="70">
        <f t="shared" si="1"/>
        <v>3533842</v>
      </c>
      <c r="R25" s="63">
        <v>0</v>
      </c>
      <c r="S25" s="31">
        <v>34150</v>
      </c>
      <c r="T25" s="31">
        <f t="shared" si="2"/>
        <v>25612.5</v>
      </c>
    </row>
    <row r="26" spans="1:20" ht="47.25">
      <c r="A26" s="19">
        <f t="shared" si="3"/>
        <v>16</v>
      </c>
      <c r="B26" s="21" t="s">
        <v>606</v>
      </c>
      <c r="C26" s="59">
        <v>111.55</v>
      </c>
      <c r="D26" s="69">
        <v>111.55</v>
      </c>
      <c r="E26" s="34"/>
      <c r="F26" s="34"/>
      <c r="G26" s="34"/>
      <c r="H26" s="59">
        <v>111.55</v>
      </c>
      <c r="I26" s="70">
        <v>3809432.5</v>
      </c>
      <c r="J26" s="31">
        <f t="shared" si="0"/>
        <v>34150</v>
      </c>
      <c r="K26" s="34"/>
      <c r="L26" s="34"/>
      <c r="M26" s="34"/>
      <c r="N26" s="34"/>
      <c r="O26" s="34"/>
      <c r="P26" s="34"/>
      <c r="Q26" s="70">
        <f t="shared" si="1"/>
        <v>3809432.5</v>
      </c>
      <c r="R26" s="63">
        <v>0</v>
      </c>
      <c r="S26" s="31">
        <v>34150</v>
      </c>
      <c r="T26" s="31">
        <f t="shared" si="2"/>
        <v>25612.5</v>
      </c>
    </row>
    <row r="27" spans="1:20" ht="47.25">
      <c r="A27" s="19">
        <f t="shared" si="3"/>
        <v>17</v>
      </c>
      <c r="B27" s="21" t="s">
        <v>607</v>
      </c>
      <c r="C27" s="59">
        <v>72.3</v>
      </c>
      <c r="D27" s="69">
        <v>0</v>
      </c>
      <c r="E27" s="34"/>
      <c r="F27" s="34"/>
      <c r="G27" s="34"/>
      <c r="H27" s="59">
        <v>72.3</v>
      </c>
      <c r="I27" s="70">
        <v>2469045</v>
      </c>
      <c r="J27" s="31">
        <f t="shared" si="0"/>
        <v>34150</v>
      </c>
      <c r="K27" s="34"/>
      <c r="L27" s="34"/>
      <c r="M27" s="34"/>
      <c r="N27" s="34"/>
      <c r="O27" s="34"/>
      <c r="P27" s="34"/>
      <c r="Q27" s="70">
        <f t="shared" si="1"/>
        <v>2469045</v>
      </c>
      <c r="R27" s="63">
        <v>0</v>
      </c>
      <c r="S27" s="31">
        <v>34150</v>
      </c>
      <c r="T27" s="31">
        <f t="shared" si="2"/>
        <v>25612.5</v>
      </c>
    </row>
    <row r="28" spans="1:20" ht="47.25">
      <c r="A28" s="19">
        <f t="shared" si="3"/>
        <v>18</v>
      </c>
      <c r="B28" s="21" t="s">
        <v>608</v>
      </c>
      <c r="C28" s="59">
        <v>98.7</v>
      </c>
      <c r="D28" s="69">
        <v>0</v>
      </c>
      <c r="E28" s="34"/>
      <c r="F28" s="34"/>
      <c r="G28" s="34"/>
      <c r="H28" s="59">
        <v>98.7</v>
      </c>
      <c r="I28" s="70">
        <v>3370605</v>
      </c>
      <c r="J28" s="31">
        <f t="shared" si="0"/>
        <v>34150</v>
      </c>
      <c r="K28" s="34"/>
      <c r="L28" s="34"/>
      <c r="M28" s="34"/>
      <c r="N28" s="34"/>
      <c r="O28" s="34"/>
      <c r="P28" s="34"/>
      <c r="Q28" s="70">
        <f t="shared" si="1"/>
        <v>3370605</v>
      </c>
      <c r="R28" s="63"/>
      <c r="S28" s="31">
        <v>34150</v>
      </c>
      <c r="T28" s="31">
        <f t="shared" si="2"/>
        <v>25612.5</v>
      </c>
    </row>
    <row r="29" spans="1:20" ht="47.25">
      <c r="A29" s="19">
        <f t="shared" si="3"/>
        <v>19</v>
      </c>
      <c r="B29" s="21" t="s">
        <v>609</v>
      </c>
      <c r="C29" s="59">
        <v>101.8</v>
      </c>
      <c r="D29" s="69">
        <v>0</v>
      </c>
      <c r="E29" s="34"/>
      <c r="F29" s="34"/>
      <c r="G29" s="34"/>
      <c r="H29" s="59">
        <v>101.8</v>
      </c>
      <c r="I29" s="70">
        <v>3476470</v>
      </c>
      <c r="J29" s="31">
        <f t="shared" si="0"/>
        <v>34150</v>
      </c>
      <c r="K29" s="34"/>
      <c r="L29" s="34"/>
      <c r="M29" s="34"/>
      <c r="N29" s="34"/>
      <c r="O29" s="34"/>
      <c r="P29" s="34"/>
      <c r="Q29" s="70">
        <f t="shared" si="1"/>
        <v>3476470</v>
      </c>
      <c r="R29" s="63">
        <v>0</v>
      </c>
      <c r="S29" s="31">
        <v>34150</v>
      </c>
      <c r="T29" s="31">
        <f t="shared" si="2"/>
        <v>25612.5</v>
      </c>
    </row>
    <row r="30" spans="1:20" ht="47.25">
      <c r="A30" s="19">
        <f t="shared" si="3"/>
        <v>20</v>
      </c>
      <c r="B30" s="21" t="s">
        <v>610</v>
      </c>
      <c r="C30" s="59">
        <v>169.98</v>
      </c>
      <c r="D30" s="69">
        <v>0</v>
      </c>
      <c r="E30" s="34"/>
      <c r="F30" s="34"/>
      <c r="G30" s="34"/>
      <c r="H30" s="59">
        <v>169.98</v>
      </c>
      <c r="I30" s="70">
        <v>5804817</v>
      </c>
      <c r="J30" s="31">
        <f t="shared" si="0"/>
        <v>34150</v>
      </c>
      <c r="K30" s="34"/>
      <c r="L30" s="34"/>
      <c r="M30" s="34"/>
      <c r="N30" s="34"/>
      <c r="O30" s="34"/>
      <c r="P30" s="34"/>
      <c r="Q30" s="70">
        <f t="shared" si="1"/>
        <v>5804817</v>
      </c>
      <c r="R30" s="63">
        <v>0</v>
      </c>
      <c r="S30" s="31">
        <v>34150</v>
      </c>
      <c r="T30" s="31">
        <f t="shared" si="2"/>
        <v>25612.5</v>
      </c>
    </row>
    <row r="31" spans="1:20" ht="47.25">
      <c r="A31" s="19">
        <f t="shared" si="3"/>
        <v>21</v>
      </c>
      <c r="B31" s="21" t="s">
        <v>611</v>
      </c>
      <c r="C31" s="59">
        <v>164.2</v>
      </c>
      <c r="D31" s="69">
        <v>83.6</v>
      </c>
      <c r="E31" s="34"/>
      <c r="F31" s="34"/>
      <c r="G31" s="34"/>
      <c r="H31" s="59">
        <v>164.2</v>
      </c>
      <c r="I31" s="70">
        <v>5607430</v>
      </c>
      <c r="J31" s="31">
        <f t="shared" si="0"/>
        <v>34150</v>
      </c>
      <c r="K31" s="34"/>
      <c r="L31" s="34"/>
      <c r="M31" s="34"/>
      <c r="N31" s="34"/>
      <c r="O31" s="34"/>
      <c r="P31" s="34"/>
      <c r="Q31" s="70">
        <f t="shared" si="1"/>
        <v>5607430</v>
      </c>
      <c r="R31" s="63">
        <v>0</v>
      </c>
      <c r="S31" s="31">
        <v>34150</v>
      </c>
      <c r="T31" s="31">
        <f t="shared" si="2"/>
        <v>25612.5</v>
      </c>
    </row>
    <row r="32" spans="1:20" ht="47.25">
      <c r="A32" s="19">
        <f t="shared" si="3"/>
        <v>22</v>
      </c>
      <c r="B32" s="21" t="s">
        <v>612</v>
      </c>
      <c r="C32" s="59">
        <v>162.5</v>
      </c>
      <c r="D32" s="69">
        <v>80.55</v>
      </c>
      <c r="E32" s="34"/>
      <c r="F32" s="34"/>
      <c r="G32" s="34"/>
      <c r="H32" s="59">
        <v>162.5</v>
      </c>
      <c r="I32" s="70">
        <v>5549375</v>
      </c>
      <c r="J32" s="31">
        <f t="shared" si="0"/>
        <v>34150</v>
      </c>
      <c r="K32" s="34"/>
      <c r="L32" s="34"/>
      <c r="M32" s="34"/>
      <c r="N32" s="34"/>
      <c r="O32" s="34"/>
      <c r="P32" s="34"/>
      <c r="Q32" s="70">
        <f t="shared" si="1"/>
        <v>5549375</v>
      </c>
      <c r="R32" s="63">
        <v>5123</v>
      </c>
      <c r="S32" s="31">
        <v>34150</v>
      </c>
      <c r="T32" s="31">
        <f t="shared" si="2"/>
        <v>25612.5</v>
      </c>
    </row>
    <row r="33" spans="1:20" ht="47.25">
      <c r="A33" s="19">
        <f t="shared" si="3"/>
        <v>23</v>
      </c>
      <c r="B33" s="21" t="s">
        <v>613</v>
      </c>
      <c r="C33" s="59">
        <v>108.11</v>
      </c>
      <c r="D33" s="69">
        <v>33.5</v>
      </c>
      <c r="E33" s="34"/>
      <c r="F33" s="34"/>
      <c r="G33" s="34"/>
      <c r="H33" s="59">
        <v>108.11</v>
      </c>
      <c r="I33" s="70">
        <v>3691956.5</v>
      </c>
      <c r="J33" s="31">
        <f t="shared" si="0"/>
        <v>34150</v>
      </c>
      <c r="K33" s="34"/>
      <c r="L33" s="34"/>
      <c r="M33" s="34"/>
      <c r="N33" s="34"/>
      <c r="O33" s="34"/>
      <c r="P33" s="34"/>
      <c r="Q33" s="70">
        <f t="shared" si="1"/>
        <v>3691956.5</v>
      </c>
      <c r="R33" s="63">
        <v>0</v>
      </c>
      <c r="S33" s="31">
        <v>34150</v>
      </c>
      <c r="T33" s="31">
        <f t="shared" si="2"/>
        <v>25612.5</v>
      </c>
    </row>
    <row r="34" spans="1:20" ht="15.75">
      <c r="A34" s="180" t="s">
        <v>615</v>
      </c>
      <c r="B34" s="180"/>
      <c r="C34" s="31">
        <v>3838</v>
      </c>
      <c r="D34" s="69">
        <v>2851.8</v>
      </c>
      <c r="E34" s="34"/>
      <c r="F34" s="34"/>
      <c r="G34" s="34"/>
      <c r="H34" s="31">
        <v>3838</v>
      </c>
      <c r="I34" s="63">
        <v>131067700</v>
      </c>
      <c r="J34" s="31">
        <f t="shared" si="0"/>
        <v>34150</v>
      </c>
      <c r="K34" s="34"/>
      <c r="L34" s="34"/>
      <c r="M34" s="34"/>
      <c r="N34" s="34"/>
      <c r="O34" s="34"/>
      <c r="P34" s="34"/>
      <c r="Q34" s="70">
        <f t="shared" si="1"/>
        <v>131067700</v>
      </c>
      <c r="R34" s="63">
        <v>0</v>
      </c>
      <c r="S34" s="31">
        <v>34150</v>
      </c>
      <c r="T34" s="31">
        <f t="shared" si="2"/>
        <v>25612.5</v>
      </c>
    </row>
    <row r="35" spans="1:20" ht="31.5">
      <c r="A35" s="32">
        <v>24</v>
      </c>
      <c r="B35" s="36" t="s">
        <v>616</v>
      </c>
      <c r="C35" s="31">
        <v>187</v>
      </c>
      <c r="D35" s="69">
        <v>79</v>
      </c>
      <c r="E35" s="34"/>
      <c r="F35" s="34"/>
      <c r="G35" s="34"/>
      <c r="H35" s="31">
        <v>187</v>
      </c>
      <c r="I35" s="63">
        <v>6386050</v>
      </c>
      <c r="J35" s="31">
        <f t="shared" si="0"/>
        <v>34150</v>
      </c>
      <c r="K35" s="32"/>
      <c r="L35" s="34"/>
      <c r="M35" s="34"/>
      <c r="N35" s="34"/>
      <c r="O35" s="32"/>
      <c r="P35" s="32"/>
      <c r="Q35" s="70">
        <f t="shared" si="1"/>
        <v>6386050</v>
      </c>
      <c r="R35" s="63">
        <v>0</v>
      </c>
      <c r="S35" s="31">
        <v>34150</v>
      </c>
      <c r="T35" s="31">
        <f t="shared" si="2"/>
        <v>25612.5</v>
      </c>
    </row>
    <row r="36" spans="1:20" ht="31.5">
      <c r="A36" s="32">
        <f>A35+1</f>
        <v>25</v>
      </c>
      <c r="B36" s="36" t="s">
        <v>617</v>
      </c>
      <c r="C36" s="31">
        <v>622.3</v>
      </c>
      <c r="D36" s="69">
        <v>583.1</v>
      </c>
      <c r="E36" s="34"/>
      <c r="F36" s="34"/>
      <c r="G36" s="34"/>
      <c r="H36" s="31">
        <v>622.3</v>
      </c>
      <c r="I36" s="63">
        <v>21251545</v>
      </c>
      <c r="J36" s="31">
        <f t="shared" si="0"/>
        <v>34150</v>
      </c>
      <c r="K36" s="32"/>
      <c r="L36" s="34"/>
      <c r="M36" s="34"/>
      <c r="N36" s="34"/>
      <c r="O36" s="32"/>
      <c r="P36" s="32"/>
      <c r="Q36" s="70">
        <f t="shared" si="1"/>
        <v>21251545</v>
      </c>
      <c r="R36" s="63">
        <v>0</v>
      </c>
      <c r="S36" s="31">
        <v>34150</v>
      </c>
      <c r="T36" s="31">
        <f t="shared" si="2"/>
        <v>25612.5</v>
      </c>
    </row>
    <row r="37" spans="1:20" ht="31.5">
      <c r="A37" s="32">
        <f aca="true" t="shared" si="4" ref="A37:A43">A36+1</f>
        <v>26</v>
      </c>
      <c r="B37" s="36" t="s">
        <v>618</v>
      </c>
      <c r="C37" s="31">
        <v>402.4</v>
      </c>
      <c r="D37" s="69">
        <v>402.4</v>
      </c>
      <c r="E37" s="34"/>
      <c r="F37" s="34"/>
      <c r="G37" s="34"/>
      <c r="H37" s="31">
        <v>402.4</v>
      </c>
      <c r="I37" s="63">
        <v>13741960</v>
      </c>
      <c r="J37" s="31">
        <f t="shared" si="0"/>
        <v>34150</v>
      </c>
      <c r="K37" s="32"/>
      <c r="L37" s="34"/>
      <c r="M37" s="34"/>
      <c r="N37" s="34"/>
      <c r="O37" s="32"/>
      <c r="P37" s="32"/>
      <c r="Q37" s="70">
        <f t="shared" si="1"/>
        <v>13741960</v>
      </c>
      <c r="R37" s="63">
        <v>0</v>
      </c>
      <c r="S37" s="31">
        <v>34150</v>
      </c>
      <c r="T37" s="31">
        <f t="shared" si="2"/>
        <v>25612.5</v>
      </c>
    </row>
    <row r="38" spans="1:20" ht="31.5">
      <c r="A38" s="32">
        <f t="shared" si="4"/>
        <v>27</v>
      </c>
      <c r="B38" s="36" t="s">
        <v>619</v>
      </c>
      <c r="C38" s="31">
        <v>387.5</v>
      </c>
      <c r="D38" s="69">
        <v>330.1</v>
      </c>
      <c r="E38" s="34"/>
      <c r="F38" s="34"/>
      <c r="G38" s="34"/>
      <c r="H38" s="31">
        <v>387.5</v>
      </c>
      <c r="I38" s="63">
        <v>13233125</v>
      </c>
      <c r="J38" s="31">
        <f t="shared" si="0"/>
        <v>34150</v>
      </c>
      <c r="K38" s="32"/>
      <c r="L38" s="34"/>
      <c r="M38" s="34"/>
      <c r="N38" s="34"/>
      <c r="O38" s="32"/>
      <c r="P38" s="32"/>
      <c r="Q38" s="70">
        <f t="shared" si="1"/>
        <v>13233125</v>
      </c>
      <c r="R38" s="63">
        <v>0</v>
      </c>
      <c r="S38" s="31">
        <v>34150</v>
      </c>
      <c r="T38" s="31">
        <f t="shared" si="2"/>
        <v>25612.5</v>
      </c>
    </row>
    <row r="39" spans="1:20" ht="47.25">
      <c r="A39" s="32">
        <f t="shared" si="4"/>
        <v>28</v>
      </c>
      <c r="B39" s="36" t="s">
        <v>620</v>
      </c>
      <c r="C39" s="31">
        <v>537.7</v>
      </c>
      <c r="D39" s="69">
        <v>493.2</v>
      </c>
      <c r="E39" s="34"/>
      <c r="F39" s="34"/>
      <c r="G39" s="34"/>
      <c r="H39" s="31">
        <v>537.7</v>
      </c>
      <c r="I39" s="63">
        <v>18362455</v>
      </c>
      <c r="J39" s="31">
        <f t="shared" si="0"/>
        <v>34150</v>
      </c>
      <c r="K39" s="32"/>
      <c r="L39" s="34"/>
      <c r="M39" s="34"/>
      <c r="N39" s="34"/>
      <c r="O39" s="32"/>
      <c r="P39" s="32"/>
      <c r="Q39" s="70">
        <f t="shared" si="1"/>
        <v>18362455</v>
      </c>
      <c r="R39" s="63">
        <v>0</v>
      </c>
      <c r="S39" s="31">
        <v>34150</v>
      </c>
      <c r="T39" s="31">
        <f t="shared" si="2"/>
        <v>25612.5</v>
      </c>
    </row>
    <row r="40" spans="1:20" ht="47.25">
      <c r="A40" s="32">
        <f t="shared" si="4"/>
        <v>29</v>
      </c>
      <c r="B40" s="36" t="s">
        <v>621</v>
      </c>
      <c r="C40" s="31">
        <v>98.8</v>
      </c>
      <c r="D40" s="69">
        <v>75.9</v>
      </c>
      <c r="E40" s="34"/>
      <c r="F40" s="34"/>
      <c r="G40" s="34"/>
      <c r="H40" s="31">
        <v>98.8</v>
      </c>
      <c r="I40" s="63">
        <v>3374020</v>
      </c>
      <c r="J40" s="31">
        <f t="shared" si="0"/>
        <v>34150</v>
      </c>
      <c r="K40" s="32"/>
      <c r="L40" s="34"/>
      <c r="M40" s="34"/>
      <c r="N40" s="34"/>
      <c r="O40" s="32"/>
      <c r="P40" s="32"/>
      <c r="Q40" s="70">
        <f t="shared" si="1"/>
        <v>3374020</v>
      </c>
      <c r="R40" s="63">
        <v>0</v>
      </c>
      <c r="S40" s="31">
        <v>34150</v>
      </c>
      <c r="T40" s="31">
        <f t="shared" si="2"/>
        <v>25612.5</v>
      </c>
    </row>
    <row r="41" spans="1:20" ht="47.25">
      <c r="A41" s="32">
        <f t="shared" si="4"/>
        <v>30</v>
      </c>
      <c r="B41" s="36" t="s">
        <v>622</v>
      </c>
      <c r="C41" s="31">
        <v>514</v>
      </c>
      <c r="D41" s="69">
        <v>514</v>
      </c>
      <c r="E41" s="34"/>
      <c r="F41" s="34"/>
      <c r="G41" s="34"/>
      <c r="H41" s="31">
        <v>514</v>
      </c>
      <c r="I41" s="63">
        <v>17553100</v>
      </c>
      <c r="J41" s="31">
        <f t="shared" si="0"/>
        <v>34150</v>
      </c>
      <c r="K41" s="32"/>
      <c r="L41" s="34"/>
      <c r="M41" s="34"/>
      <c r="N41" s="34"/>
      <c r="O41" s="32"/>
      <c r="P41" s="32"/>
      <c r="Q41" s="70">
        <f t="shared" si="1"/>
        <v>17553100</v>
      </c>
      <c r="R41" s="63">
        <v>0</v>
      </c>
      <c r="S41" s="31">
        <v>34150</v>
      </c>
      <c r="T41" s="31">
        <f t="shared" si="2"/>
        <v>25612.5</v>
      </c>
    </row>
    <row r="42" spans="1:20" ht="63">
      <c r="A42" s="32">
        <f t="shared" si="4"/>
        <v>31</v>
      </c>
      <c r="B42" s="36" t="s">
        <v>623</v>
      </c>
      <c r="C42" s="31">
        <v>707.3</v>
      </c>
      <c r="D42" s="69">
        <v>250.5</v>
      </c>
      <c r="E42" s="34"/>
      <c r="F42" s="34"/>
      <c r="G42" s="34"/>
      <c r="H42" s="31">
        <v>707.3</v>
      </c>
      <c r="I42" s="63">
        <v>24154295</v>
      </c>
      <c r="J42" s="31">
        <f t="shared" si="0"/>
        <v>34150</v>
      </c>
      <c r="K42" s="32"/>
      <c r="L42" s="34"/>
      <c r="M42" s="34"/>
      <c r="N42" s="34"/>
      <c r="O42" s="32"/>
      <c r="P42" s="32"/>
      <c r="Q42" s="70">
        <f t="shared" si="1"/>
        <v>24154295</v>
      </c>
      <c r="R42" s="63">
        <v>0</v>
      </c>
      <c r="S42" s="31">
        <v>34150</v>
      </c>
      <c r="T42" s="31">
        <f t="shared" si="2"/>
        <v>25612.5</v>
      </c>
    </row>
    <row r="43" spans="1:20" ht="63">
      <c r="A43" s="32">
        <f t="shared" si="4"/>
        <v>32</v>
      </c>
      <c r="B43" s="36" t="s">
        <v>624</v>
      </c>
      <c r="C43" s="31">
        <v>381</v>
      </c>
      <c r="D43" s="69">
        <v>123.6</v>
      </c>
      <c r="E43" s="34"/>
      <c r="F43" s="34"/>
      <c r="G43" s="34"/>
      <c r="H43" s="31">
        <v>381</v>
      </c>
      <c r="I43" s="63">
        <v>13011150</v>
      </c>
      <c r="J43" s="31">
        <f t="shared" si="0"/>
        <v>34150</v>
      </c>
      <c r="K43" s="32"/>
      <c r="L43" s="34"/>
      <c r="M43" s="34"/>
      <c r="N43" s="34"/>
      <c r="O43" s="32"/>
      <c r="P43" s="32"/>
      <c r="Q43" s="70">
        <f t="shared" si="1"/>
        <v>13011150</v>
      </c>
      <c r="R43" s="63">
        <v>0</v>
      </c>
      <c r="S43" s="31">
        <v>34150</v>
      </c>
      <c r="T43" s="31">
        <f t="shared" si="2"/>
        <v>25612.5</v>
      </c>
    </row>
    <row r="44" spans="1:20" ht="15.75">
      <c r="A44" s="180" t="s">
        <v>626</v>
      </c>
      <c r="B44" s="180"/>
      <c r="C44" s="34">
        <v>1117.3</v>
      </c>
      <c r="D44" s="69">
        <v>745.8</v>
      </c>
      <c r="E44" s="34"/>
      <c r="F44" s="34"/>
      <c r="G44" s="34"/>
      <c r="H44" s="34">
        <v>1117.3</v>
      </c>
      <c r="I44" s="34">
        <v>38155795</v>
      </c>
      <c r="J44" s="31">
        <f t="shared" si="0"/>
        <v>34150</v>
      </c>
      <c r="K44" s="34"/>
      <c r="L44" s="34"/>
      <c r="M44" s="34"/>
      <c r="N44" s="34"/>
      <c r="O44" s="34"/>
      <c r="P44" s="34"/>
      <c r="Q44" s="70">
        <f t="shared" si="1"/>
        <v>38155795</v>
      </c>
      <c r="R44" s="66">
        <v>542985</v>
      </c>
      <c r="S44" s="31">
        <v>34150</v>
      </c>
      <c r="T44" s="31">
        <f t="shared" si="2"/>
        <v>25612.5</v>
      </c>
    </row>
    <row r="45" spans="1:20" ht="47.25">
      <c r="A45" s="37">
        <v>33</v>
      </c>
      <c r="B45" s="103" t="s">
        <v>202</v>
      </c>
      <c r="C45" s="34">
        <v>155.2</v>
      </c>
      <c r="D45" s="69">
        <v>85</v>
      </c>
      <c r="E45" s="34"/>
      <c r="F45" s="34"/>
      <c r="G45" s="34"/>
      <c r="H45" s="34">
        <v>155.2</v>
      </c>
      <c r="I45" s="34">
        <v>5300080</v>
      </c>
      <c r="J45" s="31">
        <f t="shared" si="0"/>
        <v>34150</v>
      </c>
      <c r="K45" s="34"/>
      <c r="L45" s="34"/>
      <c r="M45" s="34"/>
      <c r="N45" s="34"/>
      <c r="O45" s="34"/>
      <c r="P45" s="34"/>
      <c r="Q45" s="70">
        <f t="shared" si="1"/>
        <v>5300080</v>
      </c>
      <c r="R45" s="63">
        <v>0</v>
      </c>
      <c r="S45" s="31">
        <v>34150</v>
      </c>
      <c r="T45" s="31">
        <f t="shared" si="2"/>
        <v>25612.5</v>
      </c>
    </row>
    <row r="46" spans="1:20" ht="31.5">
      <c r="A46" s="37">
        <f>A45+1</f>
        <v>34</v>
      </c>
      <c r="B46" s="95" t="s">
        <v>203</v>
      </c>
      <c r="C46" s="106">
        <v>106.1</v>
      </c>
      <c r="D46" s="69">
        <v>106.1</v>
      </c>
      <c r="E46" s="34"/>
      <c r="F46" s="34"/>
      <c r="G46" s="34"/>
      <c r="H46" s="106">
        <v>106.1</v>
      </c>
      <c r="I46" s="34">
        <v>3623315</v>
      </c>
      <c r="J46" s="31">
        <f t="shared" si="0"/>
        <v>34150</v>
      </c>
      <c r="K46" s="34"/>
      <c r="L46" s="34"/>
      <c r="M46" s="34"/>
      <c r="N46" s="34"/>
      <c r="O46" s="34"/>
      <c r="P46" s="34"/>
      <c r="Q46" s="70">
        <f t="shared" si="1"/>
        <v>3623315</v>
      </c>
      <c r="R46" s="63">
        <v>6830.000000000097</v>
      </c>
      <c r="S46" s="31">
        <v>34150</v>
      </c>
      <c r="T46" s="31">
        <f t="shared" si="2"/>
        <v>25612.5</v>
      </c>
    </row>
    <row r="47" spans="1:20" ht="31.5">
      <c r="A47" s="37">
        <f aca="true" t="shared" si="5" ref="A47:A52">A46+1</f>
        <v>35</v>
      </c>
      <c r="B47" s="95" t="s">
        <v>204</v>
      </c>
      <c r="C47" s="107">
        <v>143.7</v>
      </c>
      <c r="D47" s="69">
        <v>108.6</v>
      </c>
      <c r="E47" s="34"/>
      <c r="F47" s="34"/>
      <c r="G47" s="34"/>
      <c r="H47" s="107">
        <v>143.7</v>
      </c>
      <c r="I47" s="34">
        <v>4907355</v>
      </c>
      <c r="J47" s="31">
        <f t="shared" si="0"/>
        <v>34150</v>
      </c>
      <c r="K47" s="34"/>
      <c r="L47" s="34"/>
      <c r="M47" s="34"/>
      <c r="N47" s="34"/>
      <c r="O47" s="34"/>
      <c r="P47" s="34"/>
      <c r="Q47" s="70">
        <f t="shared" si="1"/>
        <v>4907355</v>
      </c>
      <c r="R47" s="63">
        <v>10245.000000000387</v>
      </c>
      <c r="S47" s="31">
        <v>34150</v>
      </c>
      <c r="T47" s="31">
        <f t="shared" si="2"/>
        <v>25612.5</v>
      </c>
    </row>
    <row r="48" spans="1:20" ht="31.5">
      <c r="A48" s="37">
        <f t="shared" si="5"/>
        <v>36</v>
      </c>
      <c r="B48" s="95" t="s">
        <v>205</v>
      </c>
      <c r="C48" s="34">
        <v>176.5</v>
      </c>
      <c r="D48" s="69">
        <v>114.9</v>
      </c>
      <c r="E48" s="34"/>
      <c r="F48" s="34"/>
      <c r="G48" s="34"/>
      <c r="H48" s="34">
        <v>176.5</v>
      </c>
      <c r="I48" s="34">
        <v>6027475</v>
      </c>
      <c r="J48" s="31">
        <f t="shared" si="0"/>
        <v>34150</v>
      </c>
      <c r="K48" s="34"/>
      <c r="L48" s="34"/>
      <c r="M48" s="34"/>
      <c r="N48" s="34"/>
      <c r="O48" s="34"/>
      <c r="P48" s="34"/>
      <c r="Q48" s="70">
        <f t="shared" si="1"/>
        <v>6027475</v>
      </c>
      <c r="R48" s="63">
        <v>0</v>
      </c>
      <c r="S48" s="31">
        <v>34150</v>
      </c>
      <c r="T48" s="31">
        <f t="shared" si="2"/>
        <v>25612.5</v>
      </c>
    </row>
    <row r="49" spans="1:20" ht="31.5">
      <c r="A49" s="37">
        <f t="shared" si="5"/>
        <v>37</v>
      </c>
      <c r="B49" s="95" t="s">
        <v>206</v>
      </c>
      <c r="C49" s="108">
        <v>138.5</v>
      </c>
      <c r="D49" s="69">
        <v>77.9</v>
      </c>
      <c r="E49" s="34"/>
      <c r="F49" s="34"/>
      <c r="G49" s="34"/>
      <c r="H49" s="108">
        <v>138.5</v>
      </c>
      <c r="I49" s="58">
        <v>4729775</v>
      </c>
      <c r="J49" s="31">
        <f t="shared" si="0"/>
        <v>34150</v>
      </c>
      <c r="K49" s="34"/>
      <c r="L49" s="34"/>
      <c r="M49" s="34"/>
      <c r="N49" s="34"/>
      <c r="O49" s="34"/>
      <c r="P49" s="34"/>
      <c r="Q49" s="70">
        <f t="shared" si="1"/>
        <v>4729775</v>
      </c>
      <c r="R49" s="63">
        <v>3414.999999999806</v>
      </c>
      <c r="S49" s="31">
        <v>34150</v>
      </c>
      <c r="T49" s="31">
        <f t="shared" si="2"/>
        <v>25612.5</v>
      </c>
    </row>
    <row r="50" spans="1:20" ht="31.5">
      <c r="A50" s="37">
        <f t="shared" si="5"/>
        <v>38</v>
      </c>
      <c r="B50" s="95" t="s">
        <v>207</v>
      </c>
      <c r="C50" s="58">
        <v>150.6</v>
      </c>
      <c r="D50" s="69">
        <v>90.9</v>
      </c>
      <c r="E50" s="34"/>
      <c r="F50" s="34"/>
      <c r="G50" s="34"/>
      <c r="H50" s="58">
        <v>150.6</v>
      </c>
      <c r="I50" s="58">
        <v>5142990</v>
      </c>
      <c r="J50" s="31">
        <f t="shared" si="0"/>
        <v>34150</v>
      </c>
      <c r="K50" s="34"/>
      <c r="L50" s="34"/>
      <c r="M50" s="34"/>
      <c r="N50" s="34"/>
      <c r="O50" s="34"/>
      <c r="P50" s="34"/>
      <c r="Q50" s="70">
        <f t="shared" si="1"/>
        <v>5142990</v>
      </c>
      <c r="R50" s="63">
        <v>515665</v>
      </c>
      <c r="S50" s="31">
        <v>34150</v>
      </c>
      <c r="T50" s="31">
        <f t="shared" si="2"/>
        <v>25612.5</v>
      </c>
    </row>
    <row r="51" spans="1:20" ht="31.5">
      <c r="A51" s="37">
        <f t="shared" si="5"/>
        <v>39</v>
      </c>
      <c r="B51" s="96" t="s">
        <v>208</v>
      </c>
      <c r="C51" s="58">
        <v>155.7</v>
      </c>
      <c r="D51" s="69">
        <v>117</v>
      </c>
      <c r="E51" s="34"/>
      <c r="F51" s="34"/>
      <c r="G51" s="34"/>
      <c r="H51" s="58">
        <v>155.7</v>
      </c>
      <c r="I51" s="58">
        <v>5317155</v>
      </c>
      <c r="J51" s="31">
        <f t="shared" si="0"/>
        <v>34150</v>
      </c>
      <c r="K51" s="34"/>
      <c r="L51" s="34"/>
      <c r="M51" s="34"/>
      <c r="N51" s="34"/>
      <c r="O51" s="34"/>
      <c r="P51" s="34"/>
      <c r="Q51" s="70">
        <f t="shared" si="1"/>
        <v>5317155</v>
      </c>
      <c r="R51" s="63">
        <v>0</v>
      </c>
      <c r="S51" s="31">
        <v>34150</v>
      </c>
      <c r="T51" s="31">
        <f t="shared" si="2"/>
        <v>25612.5</v>
      </c>
    </row>
    <row r="52" spans="1:20" ht="31.5">
      <c r="A52" s="37">
        <f t="shared" si="5"/>
        <v>40</v>
      </c>
      <c r="B52" s="95" t="s">
        <v>209</v>
      </c>
      <c r="C52" s="71">
        <v>91</v>
      </c>
      <c r="D52" s="69">
        <v>45.4</v>
      </c>
      <c r="E52" s="34"/>
      <c r="F52" s="34"/>
      <c r="G52" s="34"/>
      <c r="H52" s="71">
        <v>91</v>
      </c>
      <c r="I52" s="58">
        <v>3107650</v>
      </c>
      <c r="J52" s="31">
        <f t="shared" si="0"/>
        <v>34150</v>
      </c>
      <c r="K52" s="34"/>
      <c r="L52" s="34"/>
      <c r="M52" s="34"/>
      <c r="N52" s="34"/>
      <c r="O52" s="34"/>
      <c r="P52" s="34"/>
      <c r="Q52" s="70">
        <f t="shared" si="1"/>
        <v>3107650</v>
      </c>
      <c r="R52" s="63">
        <v>6830.000000000097</v>
      </c>
      <c r="S52" s="31">
        <v>34150</v>
      </c>
      <c r="T52" s="31">
        <f t="shared" si="2"/>
        <v>25612.5</v>
      </c>
    </row>
    <row r="53" spans="1:20" ht="15.75">
      <c r="A53" s="180" t="s">
        <v>627</v>
      </c>
      <c r="B53" s="180"/>
      <c r="C53" s="31">
        <v>908.8</v>
      </c>
      <c r="D53" s="69">
        <v>262.3</v>
      </c>
      <c r="E53" s="32"/>
      <c r="F53" s="32"/>
      <c r="G53" s="32"/>
      <c r="H53" s="31">
        <v>908.8</v>
      </c>
      <c r="I53" s="63">
        <v>31035520</v>
      </c>
      <c r="J53" s="31">
        <f t="shared" si="0"/>
        <v>34150</v>
      </c>
      <c r="K53" s="32"/>
      <c r="L53" s="32"/>
      <c r="M53" s="32"/>
      <c r="N53" s="32"/>
      <c r="O53" s="32"/>
      <c r="P53" s="32"/>
      <c r="Q53" s="70">
        <f t="shared" si="1"/>
        <v>31035520</v>
      </c>
      <c r="R53" s="64">
        <v>0</v>
      </c>
      <c r="S53" s="31">
        <v>34150</v>
      </c>
      <c r="T53" s="31">
        <f t="shared" si="2"/>
        <v>25612.5</v>
      </c>
    </row>
    <row r="54" spans="1:20" ht="47.25">
      <c r="A54" s="10">
        <v>41</v>
      </c>
      <c r="B54" s="29" t="s">
        <v>628</v>
      </c>
      <c r="C54" s="35">
        <v>158.3</v>
      </c>
      <c r="D54" s="69">
        <v>73.1</v>
      </c>
      <c r="E54" s="32"/>
      <c r="F54" s="32"/>
      <c r="G54" s="32"/>
      <c r="H54" s="35">
        <v>158.3</v>
      </c>
      <c r="I54" s="63">
        <v>5405945</v>
      </c>
      <c r="J54" s="31">
        <f t="shared" si="0"/>
        <v>34150</v>
      </c>
      <c r="K54" s="32"/>
      <c r="L54" s="32"/>
      <c r="M54" s="32"/>
      <c r="N54" s="32"/>
      <c r="O54" s="32"/>
      <c r="P54" s="32"/>
      <c r="Q54" s="70">
        <f t="shared" si="1"/>
        <v>5405945</v>
      </c>
      <c r="R54" s="64">
        <v>0</v>
      </c>
      <c r="S54" s="31">
        <v>34150</v>
      </c>
      <c r="T54" s="31">
        <f t="shared" si="2"/>
        <v>25612.5</v>
      </c>
    </row>
    <row r="55" spans="1:20" ht="31.5">
      <c r="A55" s="10">
        <f>A54+1</f>
        <v>42</v>
      </c>
      <c r="B55" s="29" t="s">
        <v>629</v>
      </c>
      <c r="C55" s="35">
        <v>295</v>
      </c>
      <c r="D55" s="69">
        <v>156.1</v>
      </c>
      <c r="E55" s="32"/>
      <c r="F55" s="32"/>
      <c r="G55" s="32"/>
      <c r="H55" s="35">
        <v>295</v>
      </c>
      <c r="I55" s="63">
        <v>10074250</v>
      </c>
      <c r="J55" s="31">
        <f t="shared" si="0"/>
        <v>34150</v>
      </c>
      <c r="K55" s="32"/>
      <c r="L55" s="32"/>
      <c r="M55" s="32"/>
      <c r="N55" s="32"/>
      <c r="O55" s="32"/>
      <c r="P55" s="32"/>
      <c r="Q55" s="70">
        <f t="shared" si="1"/>
        <v>10074250</v>
      </c>
      <c r="R55" s="64">
        <v>0</v>
      </c>
      <c r="S55" s="31">
        <v>34150</v>
      </c>
      <c r="T55" s="31">
        <f t="shared" si="2"/>
        <v>25612.5</v>
      </c>
    </row>
    <row r="56" spans="1:20" ht="31.5">
      <c r="A56" s="10">
        <f aca="true" t="shared" si="6" ref="A56:A61">A55+1</f>
        <v>43</v>
      </c>
      <c r="B56" s="29" t="s">
        <v>630</v>
      </c>
      <c r="C56" s="35">
        <v>132.4</v>
      </c>
      <c r="D56" s="69">
        <v>33.1</v>
      </c>
      <c r="E56" s="32"/>
      <c r="F56" s="32"/>
      <c r="G56" s="32"/>
      <c r="H56" s="35">
        <v>132.4</v>
      </c>
      <c r="I56" s="63">
        <v>4521460</v>
      </c>
      <c r="J56" s="31">
        <f t="shared" si="0"/>
        <v>34150</v>
      </c>
      <c r="K56" s="32"/>
      <c r="L56" s="32"/>
      <c r="M56" s="32"/>
      <c r="N56" s="32"/>
      <c r="O56" s="32"/>
      <c r="P56" s="32"/>
      <c r="Q56" s="70">
        <f t="shared" si="1"/>
        <v>4521460</v>
      </c>
      <c r="R56" s="64">
        <v>0</v>
      </c>
      <c r="S56" s="31">
        <v>34150</v>
      </c>
      <c r="T56" s="31">
        <f t="shared" si="2"/>
        <v>25612.5</v>
      </c>
    </row>
    <row r="57" spans="1:20" ht="31.5">
      <c r="A57" s="10">
        <f t="shared" si="6"/>
        <v>44</v>
      </c>
      <c r="B57" s="29" t="s">
        <v>631</v>
      </c>
      <c r="C57" s="35">
        <v>120.7</v>
      </c>
      <c r="D57" s="69">
        <v>0</v>
      </c>
      <c r="E57" s="32"/>
      <c r="F57" s="32"/>
      <c r="G57" s="32"/>
      <c r="H57" s="35">
        <v>120.7</v>
      </c>
      <c r="I57" s="63">
        <v>4121905</v>
      </c>
      <c r="J57" s="31">
        <f t="shared" si="0"/>
        <v>34150</v>
      </c>
      <c r="K57" s="32"/>
      <c r="L57" s="32"/>
      <c r="M57" s="32"/>
      <c r="N57" s="32"/>
      <c r="O57" s="32"/>
      <c r="P57" s="32"/>
      <c r="Q57" s="70">
        <f t="shared" si="1"/>
        <v>4121905</v>
      </c>
      <c r="R57" s="64">
        <v>0</v>
      </c>
      <c r="S57" s="31">
        <v>34150</v>
      </c>
      <c r="T57" s="31">
        <f t="shared" si="2"/>
        <v>25612.5</v>
      </c>
    </row>
    <row r="58" spans="1:20" ht="31.5">
      <c r="A58" s="10">
        <f t="shared" si="6"/>
        <v>45</v>
      </c>
      <c r="B58" s="29" t="s">
        <v>632</v>
      </c>
      <c r="C58" s="35">
        <v>75.6</v>
      </c>
      <c r="D58" s="69">
        <v>0</v>
      </c>
      <c r="E58" s="32"/>
      <c r="F58" s="32"/>
      <c r="G58" s="32"/>
      <c r="H58" s="35">
        <v>75.6</v>
      </c>
      <c r="I58" s="63">
        <v>2581740</v>
      </c>
      <c r="J58" s="31">
        <f t="shared" si="0"/>
        <v>34150</v>
      </c>
      <c r="K58" s="32"/>
      <c r="L58" s="32"/>
      <c r="M58" s="32"/>
      <c r="N58" s="32"/>
      <c r="O58" s="32"/>
      <c r="P58" s="32"/>
      <c r="Q58" s="70">
        <f t="shared" si="1"/>
        <v>2581740</v>
      </c>
      <c r="R58" s="64">
        <v>0</v>
      </c>
      <c r="S58" s="31">
        <v>34150</v>
      </c>
      <c r="T58" s="31">
        <f t="shared" si="2"/>
        <v>25612.5</v>
      </c>
    </row>
    <row r="59" spans="1:20" ht="31.5">
      <c r="A59" s="10">
        <f t="shared" si="6"/>
        <v>46</v>
      </c>
      <c r="B59" s="29" t="s">
        <v>633</v>
      </c>
      <c r="C59" s="35">
        <v>61.6</v>
      </c>
      <c r="D59" s="69">
        <v>0</v>
      </c>
      <c r="E59" s="32"/>
      <c r="F59" s="32"/>
      <c r="G59" s="32"/>
      <c r="H59" s="35">
        <v>61.6</v>
      </c>
      <c r="I59" s="63">
        <v>2103640</v>
      </c>
      <c r="J59" s="31">
        <f t="shared" si="0"/>
        <v>34150</v>
      </c>
      <c r="K59" s="32"/>
      <c r="L59" s="32"/>
      <c r="M59" s="32"/>
      <c r="N59" s="32"/>
      <c r="O59" s="32"/>
      <c r="P59" s="32"/>
      <c r="Q59" s="70">
        <f t="shared" si="1"/>
        <v>2103640</v>
      </c>
      <c r="R59" s="64">
        <v>0</v>
      </c>
      <c r="S59" s="31">
        <v>34150</v>
      </c>
      <c r="T59" s="31">
        <f t="shared" si="2"/>
        <v>25612.5</v>
      </c>
    </row>
    <row r="60" spans="1:20" ht="31.5">
      <c r="A60" s="10">
        <f t="shared" si="6"/>
        <v>47</v>
      </c>
      <c r="B60" s="29" t="s">
        <v>634</v>
      </c>
      <c r="C60" s="35">
        <v>22.4</v>
      </c>
      <c r="D60" s="69">
        <v>0</v>
      </c>
      <c r="E60" s="32"/>
      <c r="F60" s="32"/>
      <c r="G60" s="32"/>
      <c r="H60" s="35">
        <v>22.4</v>
      </c>
      <c r="I60" s="63">
        <v>764960</v>
      </c>
      <c r="J60" s="31">
        <f t="shared" si="0"/>
        <v>34150</v>
      </c>
      <c r="K60" s="32"/>
      <c r="L60" s="32"/>
      <c r="M60" s="32"/>
      <c r="N60" s="32"/>
      <c r="O60" s="32"/>
      <c r="P60" s="32"/>
      <c r="Q60" s="70">
        <f t="shared" si="1"/>
        <v>764960</v>
      </c>
      <c r="R60" s="64">
        <v>0</v>
      </c>
      <c r="S60" s="31">
        <v>34150</v>
      </c>
      <c r="T60" s="31">
        <f t="shared" si="2"/>
        <v>25612.5</v>
      </c>
    </row>
    <row r="61" spans="1:20" ht="31.5">
      <c r="A61" s="10">
        <f t="shared" si="6"/>
        <v>48</v>
      </c>
      <c r="B61" s="29" t="s">
        <v>635</v>
      </c>
      <c r="C61" s="35">
        <v>42.8</v>
      </c>
      <c r="D61" s="69">
        <v>0</v>
      </c>
      <c r="E61" s="32"/>
      <c r="F61" s="32"/>
      <c r="G61" s="32"/>
      <c r="H61" s="35">
        <v>42.8</v>
      </c>
      <c r="I61" s="63">
        <v>1461620</v>
      </c>
      <c r="J61" s="31">
        <f t="shared" si="0"/>
        <v>34150</v>
      </c>
      <c r="K61" s="32"/>
      <c r="L61" s="32"/>
      <c r="M61" s="32"/>
      <c r="N61" s="32"/>
      <c r="O61" s="32"/>
      <c r="P61" s="32"/>
      <c r="Q61" s="70">
        <f t="shared" si="1"/>
        <v>1461620</v>
      </c>
      <c r="R61" s="64">
        <v>0</v>
      </c>
      <c r="S61" s="31">
        <v>34150</v>
      </c>
      <c r="T61" s="31">
        <f t="shared" si="2"/>
        <v>25612.5</v>
      </c>
    </row>
    <row r="62" spans="1:20" ht="15.75">
      <c r="A62" s="162" t="s">
        <v>636</v>
      </c>
      <c r="B62" s="162"/>
      <c r="C62" s="32">
        <v>2981.76</v>
      </c>
      <c r="D62" s="69">
        <v>1669.76</v>
      </c>
      <c r="E62" s="32"/>
      <c r="F62" s="32"/>
      <c r="G62" s="32"/>
      <c r="H62" s="32">
        <v>2981.76</v>
      </c>
      <c r="I62" s="64">
        <v>101827104</v>
      </c>
      <c r="J62" s="31">
        <f t="shared" si="0"/>
        <v>34150</v>
      </c>
      <c r="K62" s="32"/>
      <c r="L62" s="32"/>
      <c r="M62" s="32"/>
      <c r="N62" s="32"/>
      <c r="O62" s="32"/>
      <c r="P62" s="32"/>
      <c r="Q62" s="70">
        <f t="shared" si="1"/>
        <v>101827104</v>
      </c>
      <c r="R62" s="64">
        <v>1519675</v>
      </c>
      <c r="S62" s="31">
        <v>34150</v>
      </c>
      <c r="T62" s="31">
        <f t="shared" si="2"/>
        <v>25612.5</v>
      </c>
    </row>
    <row r="63" spans="1:20" ht="47.25">
      <c r="A63" s="12">
        <v>49</v>
      </c>
      <c r="B63" s="89" t="s">
        <v>637</v>
      </c>
      <c r="C63" s="77">
        <v>105.3</v>
      </c>
      <c r="D63" s="69">
        <v>105.3</v>
      </c>
      <c r="E63" s="32"/>
      <c r="F63" s="32"/>
      <c r="G63" s="32"/>
      <c r="H63" s="77">
        <v>105.3</v>
      </c>
      <c r="I63" s="78">
        <v>3595995</v>
      </c>
      <c r="J63" s="31">
        <f t="shared" si="0"/>
        <v>34150</v>
      </c>
      <c r="K63" s="32"/>
      <c r="L63" s="32"/>
      <c r="M63" s="32"/>
      <c r="N63" s="32"/>
      <c r="O63" s="32"/>
      <c r="P63" s="32"/>
      <c r="Q63" s="70">
        <f t="shared" si="1"/>
        <v>3595995</v>
      </c>
      <c r="R63" s="64">
        <v>0</v>
      </c>
      <c r="S63" s="31">
        <v>34150</v>
      </c>
      <c r="T63" s="31">
        <f t="shared" si="2"/>
        <v>25612.5</v>
      </c>
    </row>
    <row r="64" spans="1:20" ht="47.25">
      <c r="A64" s="12">
        <f>A63+1</f>
        <v>50</v>
      </c>
      <c r="B64" s="89" t="s">
        <v>708</v>
      </c>
      <c r="C64" s="77">
        <v>65.5</v>
      </c>
      <c r="D64" s="69">
        <v>0</v>
      </c>
      <c r="E64" s="32"/>
      <c r="F64" s="32"/>
      <c r="G64" s="32"/>
      <c r="H64" s="77">
        <v>65.5</v>
      </c>
      <c r="I64" s="78">
        <v>2236825</v>
      </c>
      <c r="J64" s="31">
        <f t="shared" si="0"/>
        <v>34150</v>
      </c>
      <c r="K64" s="32"/>
      <c r="L64" s="32"/>
      <c r="M64" s="32"/>
      <c r="N64" s="32"/>
      <c r="O64" s="32"/>
      <c r="P64" s="32"/>
      <c r="Q64" s="70">
        <f t="shared" si="1"/>
        <v>2236825</v>
      </c>
      <c r="R64" s="64">
        <v>0</v>
      </c>
      <c r="S64" s="31">
        <v>34150</v>
      </c>
      <c r="T64" s="31">
        <f t="shared" si="2"/>
        <v>25612.5</v>
      </c>
    </row>
    <row r="65" spans="1:20" ht="47.25">
      <c r="A65" s="12">
        <f aca="true" t="shared" si="7" ref="A65:A85">A64+1</f>
        <v>51</v>
      </c>
      <c r="B65" s="89" t="s">
        <v>110</v>
      </c>
      <c r="C65" s="77">
        <v>135.4</v>
      </c>
      <c r="D65" s="69">
        <v>135.4</v>
      </c>
      <c r="E65" s="32"/>
      <c r="F65" s="32"/>
      <c r="G65" s="32"/>
      <c r="H65" s="77">
        <v>135.4</v>
      </c>
      <c r="I65" s="78">
        <v>4623910</v>
      </c>
      <c r="J65" s="31">
        <f t="shared" si="0"/>
        <v>34150</v>
      </c>
      <c r="K65" s="32"/>
      <c r="L65" s="32"/>
      <c r="M65" s="32"/>
      <c r="N65" s="32"/>
      <c r="O65" s="32"/>
      <c r="P65" s="32"/>
      <c r="Q65" s="70">
        <f t="shared" si="1"/>
        <v>4623910</v>
      </c>
      <c r="R65" s="64">
        <v>0</v>
      </c>
      <c r="S65" s="31">
        <v>34150</v>
      </c>
      <c r="T65" s="31">
        <f t="shared" si="2"/>
        <v>25612.5</v>
      </c>
    </row>
    <row r="66" spans="1:20" ht="47.25">
      <c r="A66" s="12">
        <f t="shared" si="7"/>
        <v>52</v>
      </c>
      <c r="B66" s="89" t="s">
        <v>111</v>
      </c>
      <c r="C66" s="77">
        <v>131.9</v>
      </c>
      <c r="D66" s="69">
        <v>0</v>
      </c>
      <c r="E66" s="32"/>
      <c r="F66" s="32"/>
      <c r="G66" s="32"/>
      <c r="H66" s="77">
        <v>131.9</v>
      </c>
      <c r="I66" s="78">
        <v>4504385</v>
      </c>
      <c r="J66" s="31">
        <f t="shared" si="0"/>
        <v>34150</v>
      </c>
      <c r="K66" s="32"/>
      <c r="L66" s="32"/>
      <c r="M66" s="32"/>
      <c r="N66" s="32"/>
      <c r="O66" s="32"/>
      <c r="P66" s="32"/>
      <c r="Q66" s="70">
        <f t="shared" si="1"/>
        <v>4504385</v>
      </c>
      <c r="R66" s="64">
        <v>0</v>
      </c>
      <c r="S66" s="31">
        <v>34150</v>
      </c>
      <c r="T66" s="31">
        <f t="shared" si="2"/>
        <v>25612.5</v>
      </c>
    </row>
    <row r="67" spans="1:20" ht="47.25">
      <c r="A67" s="12">
        <f t="shared" si="7"/>
        <v>53</v>
      </c>
      <c r="B67" s="89" t="s">
        <v>112</v>
      </c>
      <c r="C67" s="77">
        <v>130</v>
      </c>
      <c r="D67" s="69">
        <v>66.3</v>
      </c>
      <c r="E67" s="32"/>
      <c r="F67" s="32"/>
      <c r="G67" s="32"/>
      <c r="H67" s="77">
        <v>130</v>
      </c>
      <c r="I67" s="78">
        <v>4439500</v>
      </c>
      <c r="J67" s="31">
        <f t="shared" si="0"/>
        <v>34150</v>
      </c>
      <c r="K67" s="32"/>
      <c r="L67" s="32"/>
      <c r="M67" s="32"/>
      <c r="N67" s="32"/>
      <c r="O67" s="32"/>
      <c r="P67" s="32"/>
      <c r="Q67" s="70">
        <f t="shared" si="1"/>
        <v>4439500</v>
      </c>
      <c r="R67" s="64">
        <v>0</v>
      </c>
      <c r="S67" s="31">
        <v>34150</v>
      </c>
      <c r="T67" s="31">
        <f t="shared" si="2"/>
        <v>25612.5</v>
      </c>
    </row>
    <row r="68" spans="1:20" ht="47.25">
      <c r="A68" s="12">
        <f t="shared" si="7"/>
        <v>54</v>
      </c>
      <c r="B68" s="89" t="s">
        <v>113</v>
      </c>
      <c r="C68" s="77">
        <v>122.4</v>
      </c>
      <c r="D68" s="69">
        <v>122.4</v>
      </c>
      <c r="E68" s="32"/>
      <c r="F68" s="32"/>
      <c r="G68" s="32"/>
      <c r="H68" s="77">
        <v>122.4</v>
      </c>
      <c r="I68" s="78">
        <v>4179960</v>
      </c>
      <c r="J68" s="31">
        <f t="shared" si="0"/>
        <v>34150</v>
      </c>
      <c r="K68" s="32"/>
      <c r="L68" s="32"/>
      <c r="M68" s="32"/>
      <c r="N68" s="32"/>
      <c r="O68" s="32"/>
      <c r="P68" s="32"/>
      <c r="Q68" s="70">
        <f t="shared" si="1"/>
        <v>4179960</v>
      </c>
      <c r="R68" s="64">
        <v>0</v>
      </c>
      <c r="S68" s="31">
        <v>34150</v>
      </c>
      <c r="T68" s="31">
        <f t="shared" si="2"/>
        <v>25612.5</v>
      </c>
    </row>
    <row r="69" spans="1:20" ht="31.5">
      <c r="A69" s="12">
        <f t="shared" si="7"/>
        <v>55</v>
      </c>
      <c r="B69" s="89" t="s">
        <v>114</v>
      </c>
      <c r="C69" s="77">
        <v>114.2</v>
      </c>
      <c r="D69" s="69">
        <v>114.2</v>
      </c>
      <c r="E69" s="32"/>
      <c r="F69" s="32"/>
      <c r="G69" s="32"/>
      <c r="H69" s="77">
        <v>114.2</v>
      </c>
      <c r="I69" s="78">
        <v>3899930</v>
      </c>
      <c r="J69" s="31">
        <f t="shared" si="0"/>
        <v>34150</v>
      </c>
      <c r="K69" s="32"/>
      <c r="L69" s="32"/>
      <c r="M69" s="32"/>
      <c r="N69" s="32"/>
      <c r="O69" s="32"/>
      <c r="P69" s="32"/>
      <c r="Q69" s="70">
        <f t="shared" si="1"/>
        <v>3899930</v>
      </c>
      <c r="R69" s="64">
        <v>0</v>
      </c>
      <c r="S69" s="31">
        <v>34150</v>
      </c>
      <c r="T69" s="31">
        <f t="shared" si="2"/>
        <v>25612.5</v>
      </c>
    </row>
    <row r="70" spans="1:20" ht="31.5">
      <c r="A70" s="12">
        <f t="shared" si="7"/>
        <v>56</v>
      </c>
      <c r="B70" s="89" t="s">
        <v>115</v>
      </c>
      <c r="C70" s="77">
        <v>119.2</v>
      </c>
      <c r="D70" s="69">
        <v>59.6</v>
      </c>
      <c r="E70" s="32"/>
      <c r="F70" s="32"/>
      <c r="G70" s="32"/>
      <c r="H70" s="77">
        <v>119.2</v>
      </c>
      <c r="I70" s="78">
        <v>4070680</v>
      </c>
      <c r="J70" s="31">
        <f t="shared" si="0"/>
        <v>34150</v>
      </c>
      <c r="K70" s="32"/>
      <c r="L70" s="32"/>
      <c r="M70" s="32"/>
      <c r="N70" s="32"/>
      <c r="O70" s="32"/>
      <c r="P70" s="32"/>
      <c r="Q70" s="70">
        <f t="shared" si="1"/>
        <v>4070680</v>
      </c>
      <c r="R70" s="64">
        <v>0</v>
      </c>
      <c r="S70" s="31">
        <v>34150</v>
      </c>
      <c r="T70" s="31">
        <f t="shared" si="2"/>
        <v>25612.5</v>
      </c>
    </row>
    <row r="71" spans="1:20" ht="47.25">
      <c r="A71" s="12">
        <f t="shared" si="7"/>
        <v>57</v>
      </c>
      <c r="B71" s="89" t="s">
        <v>116</v>
      </c>
      <c r="C71" s="77">
        <v>102.9</v>
      </c>
      <c r="D71" s="69">
        <v>24.1</v>
      </c>
      <c r="E71" s="32"/>
      <c r="F71" s="32"/>
      <c r="G71" s="32"/>
      <c r="H71" s="77">
        <v>102.9</v>
      </c>
      <c r="I71" s="78">
        <v>3514035</v>
      </c>
      <c r="J71" s="31">
        <f t="shared" si="0"/>
        <v>34150</v>
      </c>
      <c r="K71" s="32"/>
      <c r="L71" s="32"/>
      <c r="M71" s="32"/>
      <c r="N71" s="32"/>
      <c r="O71" s="32"/>
      <c r="P71" s="32"/>
      <c r="Q71" s="70">
        <f t="shared" si="1"/>
        <v>3514035</v>
      </c>
      <c r="R71" s="64">
        <v>1266965</v>
      </c>
      <c r="S71" s="31">
        <v>34150</v>
      </c>
      <c r="T71" s="31">
        <f t="shared" si="2"/>
        <v>25612.5</v>
      </c>
    </row>
    <row r="72" spans="1:20" ht="63">
      <c r="A72" s="12">
        <f t="shared" si="7"/>
        <v>58</v>
      </c>
      <c r="B72" s="89" t="s">
        <v>117</v>
      </c>
      <c r="C72" s="77">
        <v>75.2</v>
      </c>
      <c r="D72" s="69">
        <v>40</v>
      </c>
      <c r="E72" s="32"/>
      <c r="F72" s="32"/>
      <c r="G72" s="32"/>
      <c r="H72" s="77">
        <v>75.2</v>
      </c>
      <c r="I72" s="78">
        <v>2568080</v>
      </c>
      <c r="J72" s="31">
        <f t="shared" si="0"/>
        <v>34150</v>
      </c>
      <c r="K72" s="32"/>
      <c r="L72" s="32"/>
      <c r="M72" s="32"/>
      <c r="N72" s="32"/>
      <c r="O72" s="32"/>
      <c r="P72" s="32"/>
      <c r="Q72" s="70">
        <f t="shared" si="1"/>
        <v>2568080</v>
      </c>
      <c r="R72" s="64">
        <v>0</v>
      </c>
      <c r="S72" s="31">
        <v>34150</v>
      </c>
      <c r="T72" s="31">
        <f t="shared" si="2"/>
        <v>25612.5</v>
      </c>
    </row>
    <row r="73" spans="1:20" ht="47.25">
      <c r="A73" s="12">
        <f t="shared" si="7"/>
        <v>59</v>
      </c>
      <c r="B73" s="89" t="s">
        <v>118</v>
      </c>
      <c r="C73" s="77">
        <v>171.8</v>
      </c>
      <c r="D73" s="69">
        <v>91.6</v>
      </c>
      <c r="E73" s="32"/>
      <c r="F73" s="32"/>
      <c r="G73" s="32"/>
      <c r="H73" s="77">
        <v>171.8</v>
      </c>
      <c r="I73" s="78">
        <v>5866970</v>
      </c>
      <c r="J73" s="31">
        <f aca="true" t="shared" si="8" ref="J73:J136">I73/H73</f>
        <v>34150</v>
      </c>
      <c r="K73" s="32"/>
      <c r="L73" s="32"/>
      <c r="M73" s="32"/>
      <c r="N73" s="32"/>
      <c r="O73" s="32"/>
      <c r="P73" s="32"/>
      <c r="Q73" s="70">
        <f aca="true" t="shared" si="9" ref="Q73:Q136">I73</f>
        <v>5866970</v>
      </c>
      <c r="R73" s="64">
        <v>0</v>
      </c>
      <c r="S73" s="31">
        <v>34150</v>
      </c>
      <c r="T73" s="31">
        <f t="shared" si="2"/>
        <v>25612.5</v>
      </c>
    </row>
    <row r="74" spans="1:20" ht="47.25">
      <c r="A74" s="12">
        <f t="shared" si="7"/>
        <v>60</v>
      </c>
      <c r="B74" s="89" t="s">
        <v>106</v>
      </c>
      <c r="C74" s="77">
        <v>111.3</v>
      </c>
      <c r="D74" s="69">
        <v>0</v>
      </c>
      <c r="E74" s="32"/>
      <c r="F74" s="32"/>
      <c r="G74" s="32"/>
      <c r="H74" s="77">
        <v>111.3</v>
      </c>
      <c r="I74" s="78">
        <v>3800895</v>
      </c>
      <c r="J74" s="31">
        <f t="shared" si="8"/>
        <v>34150</v>
      </c>
      <c r="K74" s="32"/>
      <c r="L74" s="32"/>
      <c r="M74" s="32"/>
      <c r="N74" s="32"/>
      <c r="O74" s="32"/>
      <c r="P74" s="32"/>
      <c r="Q74" s="70">
        <f t="shared" si="9"/>
        <v>3800895</v>
      </c>
      <c r="R74" s="64">
        <v>0</v>
      </c>
      <c r="S74" s="31">
        <v>34150</v>
      </c>
      <c r="T74" s="31">
        <f aca="true" t="shared" si="10" ref="T74:T137">S74/4*3</f>
        <v>25612.5</v>
      </c>
    </row>
    <row r="75" spans="1:20" ht="47.25">
      <c r="A75" s="12">
        <f t="shared" si="7"/>
        <v>61</v>
      </c>
      <c r="B75" s="89" t="s">
        <v>107</v>
      </c>
      <c r="C75" s="77">
        <v>85</v>
      </c>
      <c r="D75" s="69">
        <v>85</v>
      </c>
      <c r="E75" s="32"/>
      <c r="F75" s="32"/>
      <c r="G75" s="32"/>
      <c r="H75" s="77">
        <v>85</v>
      </c>
      <c r="I75" s="78">
        <v>2902750</v>
      </c>
      <c r="J75" s="31">
        <f t="shared" si="8"/>
        <v>34150</v>
      </c>
      <c r="K75" s="32"/>
      <c r="L75" s="32"/>
      <c r="M75" s="32"/>
      <c r="N75" s="32"/>
      <c r="O75" s="32"/>
      <c r="P75" s="32"/>
      <c r="Q75" s="70">
        <f t="shared" si="9"/>
        <v>2902750</v>
      </c>
      <c r="R75" s="64">
        <v>0</v>
      </c>
      <c r="S75" s="31">
        <v>34150</v>
      </c>
      <c r="T75" s="31">
        <f t="shared" si="10"/>
        <v>25612.5</v>
      </c>
    </row>
    <row r="76" spans="1:20" ht="47.25">
      <c r="A76" s="12">
        <f t="shared" si="7"/>
        <v>62</v>
      </c>
      <c r="B76" s="89" t="s">
        <v>108</v>
      </c>
      <c r="C76" s="77">
        <v>126.4</v>
      </c>
      <c r="D76" s="69">
        <v>64.3</v>
      </c>
      <c r="E76" s="32"/>
      <c r="F76" s="32"/>
      <c r="G76" s="32"/>
      <c r="H76" s="77">
        <v>126.4</v>
      </c>
      <c r="I76" s="78">
        <v>4316560</v>
      </c>
      <c r="J76" s="31">
        <f t="shared" si="8"/>
        <v>34150</v>
      </c>
      <c r="K76" s="32"/>
      <c r="L76" s="32"/>
      <c r="M76" s="32"/>
      <c r="N76" s="32"/>
      <c r="O76" s="32"/>
      <c r="P76" s="32"/>
      <c r="Q76" s="70">
        <f t="shared" si="9"/>
        <v>4316560</v>
      </c>
      <c r="R76" s="64">
        <v>0</v>
      </c>
      <c r="S76" s="31">
        <v>34150</v>
      </c>
      <c r="T76" s="31">
        <f t="shared" si="10"/>
        <v>25612.5</v>
      </c>
    </row>
    <row r="77" spans="1:20" ht="47.25">
      <c r="A77" s="12">
        <f t="shared" si="7"/>
        <v>63</v>
      </c>
      <c r="B77" s="89" t="s">
        <v>119</v>
      </c>
      <c r="C77" s="77">
        <v>86.6</v>
      </c>
      <c r="D77" s="69">
        <v>0</v>
      </c>
      <c r="E77" s="32"/>
      <c r="F77" s="32"/>
      <c r="G77" s="32"/>
      <c r="H77" s="77">
        <v>86.6</v>
      </c>
      <c r="I77" s="78">
        <v>2957390</v>
      </c>
      <c r="J77" s="31">
        <f t="shared" si="8"/>
        <v>34150</v>
      </c>
      <c r="K77" s="32"/>
      <c r="L77" s="32"/>
      <c r="M77" s="32"/>
      <c r="N77" s="32"/>
      <c r="O77" s="32"/>
      <c r="P77" s="32"/>
      <c r="Q77" s="70">
        <f t="shared" si="9"/>
        <v>2957390</v>
      </c>
      <c r="R77" s="64">
        <v>0</v>
      </c>
      <c r="S77" s="31">
        <v>34150</v>
      </c>
      <c r="T77" s="31">
        <f t="shared" si="10"/>
        <v>25612.5</v>
      </c>
    </row>
    <row r="78" spans="1:20" ht="47.25">
      <c r="A78" s="12">
        <f t="shared" si="7"/>
        <v>64</v>
      </c>
      <c r="B78" s="89" t="s">
        <v>120</v>
      </c>
      <c r="C78" s="77">
        <v>127.3</v>
      </c>
      <c r="D78" s="69">
        <v>64</v>
      </c>
      <c r="E78" s="32"/>
      <c r="F78" s="32"/>
      <c r="G78" s="32"/>
      <c r="H78" s="77">
        <v>127.3</v>
      </c>
      <c r="I78" s="78">
        <v>4347295</v>
      </c>
      <c r="J78" s="31">
        <f t="shared" si="8"/>
        <v>34150</v>
      </c>
      <c r="K78" s="32"/>
      <c r="L78" s="32"/>
      <c r="M78" s="32"/>
      <c r="N78" s="32"/>
      <c r="O78" s="32"/>
      <c r="P78" s="32"/>
      <c r="Q78" s="70">
        <f t="shared" si="9"/>
        <v>4347295</v>
      </c>
      <c r="R78" s="64">
        <v>0</v>
      </c>
      <c r="S78" s="31">
        <v>34150</v>
      </c>
      <c r="T78" s="31">
        <f t="shared" si="10"/>
        <v>25612.5</v>
      </c>
    </row>
    <row r="79" spans="1:20" ht="47.25">
      <c r="A79" s="12">
        <f t="shared" si="7"/>
        <v>65</v>
      </c>
      <c r="B79" s="89" t="s">
        <v>121</v>
      </c>
      <c r="C79" s="77">
        <v>128.3</v>
      </c>
      <c r="D79" s="69">
        <v>0</v>
      </c>
      <c r="E79" s="32"/>
      <c r="F79" s="32"/>
      <c r="G79" s="32"/>
      <c r="H79" s="77">
        <v>128.3</v>
      </c>
      <c r="I79" s="78">
        <v>4381445</v>
      </c>
      <c r="J79" s="31">
        <f t="shared" si="8"/>
        <v>34150</v>
      </c>
      <c r="K79" s="32"/>
      <c r="L79" s="32"/>
      <c r="M79" s="32"/>
      <c r="N79" s="32"/>
      <c r="O79" s="32"/>
      <c r="P79" s="32"/>
      <c r="Q79" s="70">
        <f t="shared" si="9"/>
        <v>4381445</v>
      </c>
      <c r="R79" s="64">
        <v>0</v>
      </c>
      <c r="S79" s="31">
        <v>34150</v>
      </c>
      <c r="T79" s="31">
        <f t="shared" si="10"/>
        <v>25612.5</v>
      </c>
    </row>
    <row r="80" spans="1:20" ht="47.25">
      <c r="A80" s="12">
        <f t="shared" si="7"/>
        <v>66</v>
      </c>
      <c r="B80" s="89" t="s">
        <v>122</v>
      </c>
      <c r="C80" s="77">
        <v>34.6</v>
      </c>
      <c r="D80" s="69">
        <v>0</v>
      </c>
      <c r="E80" s="32"/>
      <c r="F80" s="32"/>
      <c r="G80" s="32"/>
      <c r="H80" s="77">
        <v>34.6</v>
      </c>
      <c r="I80" s="78">
        <v>1181590</v>
      </c>
      <c r="J80" s="31">
        <f t="shared" si="8"/>
        <v>34150</v>
      </c>
      <c r="K80" s="32"/>
      <c r="L80" s="32"/>
      <c r="M80" s="32"/>
      <c r="N80" s="32"/>
      <c r="O80" s="32"/>
      <c r="P80" s="32"/>
      <c r="Q80" s="70">
        <f t="shared" si="9"/>
        <v>1181590</v>
      </c>
      <c r="R80" s="64">
        <v>0</v>
      </c>
      <c r="S80" s="31">
        <v>34150</v>
      </c>
      <c r="T80" s="31">
        <f t="shared" si="10"/>
        <v>25612.5</v>
      </c>
    </row>
    <row r="81" spans="1:20" ht="47.25">
      <c r="A81" s="12">
        <f t="shared" si="7"/>
        <v>67</v>
      </c>
      <c r="B81" s="89" t="s">
        <v>123</v>
      </c>
      <c r="C81" s="77">
        <v>140.7</v>
      </c>
      <c r="D81" s="69">
        <v>118.1</v>
      </c>
      <c r="E81" s="32"/>
      <c r="F81" s="32"/>
      <c r="G81" s="32"/>
      <c r="H81" s="77">
        <v>140.7</v>
      </c>
      <c r="I81" s="78">
        <v>4804905</v>
      </c>
      <c r="J81" s="31">
        <f t="shared" si="8"/>
        <v>34150</v>
      </c>
      <c r="K81" s="32"/>
      <c r="L81" s="32"/>
      <c r="M81" s="32"/>
      <c r="N81" s="32"/>
      <c r="O81" s="32"/>
      <c r="P81" s="32"/>
      <c r="Q81" s="70">
        <f t="shared" si="9"/>
        <v>4804905</v>
      </c>
      <c r="R81" s="64">
        <v>252710</v>
      </c>
      <c r="S81" s="31">
        <v>34150</v>
      </c>
      <c r="T81" s="31">
        <f t="shared" si="10"/>
        <v>25612.5</v>
      </c>
    </row>
    <row r="82" spans="1:20" ht="47.25">
      <c r="A82" s="12">
        <f t="shared" si="7"/>
        <v>68</v>
      </c>
      <c r="B82" s="89" t="s">
        <v>124</v>
      </c>
      <c r="C82" s="77">
        <v>164</v>
      </c>
      <c r="D82" s="69">
        <v>47.1</v>
      </c>
      <c r="E82" s="32"/>
      <c r="F82" s="32"/>
      <c r="G82" s="32"/>
      <c r="H82" s="77">
        <v>164</v>
      </c>
      <c r="I82" s="78">
        <v>5600600</v>
      </c>
      <c r="J82" s="31">
        <f t="shared" si="8"/>
        <v>34150</v>
      </c>
      <c r="K82" s="32"/>
      <c r="L82" s="32"/>
      <c r="M82" s="32"/>
      <c r="N82" s="32"/>
      <c r="O82" s="32"/>
      <c r="P82" s="32"/>
      <c r="Q82" s="70">
        <f t="shared" si="9"/>
        <v>5600600</v>
      </c>
      <c r="R82" s="64">
        <v>0</v>
      </c>
      <c r="S82" s="31">
        <v>34150</v>
      </c>
      <c r="T82" s="31">
        <f t="shared" si="10"/>
        <v>25612.5</v>
      </c>
    </row>
    <row r="83" spans="1:20" ht="47.25">
      <c r="A83" s="12">
        <f t="shared" si="7"/>
        <v>69</v>
      </c>
      <c r="B83" s="89" t="s">
        <v>125</v>
      </c>
      <c r="C83" s="77">
        <v>121.1</v>
      </c>
      <c r="D83" s="69">
        <v>77.5</v>
      </c>
      <c r="E83" s="32"/>
      <c r="F83" s="32"/>
      <c r="G83" s="32"/>
      <c r="H83" s="77">
        <v>121.1</v>
      </c>
      <c r="I83" s="78">
        <v>4135565</v>
      </c>
      <c r="J83" s="31">
        <f t="shared" si="8"/>
        <v>34150</v>
      </c>
      <c r="K83" s="32"/>
      <c r="L83" s="32"/>
      <c r="M83" s="32"/>
      <c r="N83" s="32"/>
      <c r="O83" s="32"/>
      <c r="P83" s="32"/>
      <c r="Q83" s="70">
        <f t="shared" si="9"/>
        <v>4135565</v>
      </c>
      <c r="R83" s="64">
        <v>0</v>
      </c>
      <c r="S83" s="31">
        <v>34150</v>
      </c>
      <c r="T83" s="31">
        <f t="shared" si="10"/>
        <v>25612.5</v>
      </c>
    </row>
    <row r="84" spans="1:20" ht="47.25">
      <c r="A84" s="12">
        <f t="shared" si="7"/>
        <v>70</v>
      </c>
      <c r="B84" s="89" t="s">
        <v>126</v>
      </c>
      <c r="C84" s="77">
        <v>413.56</v>
      </c>
      <c r="D84" s="69">
        <v>285.76</v>
      </c>
      <c r="E84" s="32"/>
      <c r="F84" s="32"/>
      <c r="G84" s="32"/>
      <c r="H84" s="77">
        <v>413.56</v>
      </c>
      <c r="I84" s="78">
        <v>14123074</v>
      </c>
      <c r="J84" s="31">
        <f t="shared" si="8"/>
        <v>34150</v>
      </c>
      <c r="K84" s="32"/>
      <c r="L84" s="32"/>
      <c r="M84" s="32"/>
      <c r="N84" s="32"/>
      <c r="O84" s="32"/>
      <c r="P84" s="32"/>
      <c r="Q84" s="70">
        <f t="shared" si="9"/>
        <v>14123074</v>
      </c>
      <c r="R84" s="64">
        <v>0</v>
      </c>
      <c r="S84" s="31">
        <v>34150</v>
      </c>
      <c r="T84" s="31">
        <f t="shared" si="10"/>
        <v>25612.5</v>
      </c>
    </row>
    <row r="85" spans="1:20" ht="47.25">
      <c r="A85" s="12">
        <f t="shared" si="7"/>
        <v>71</v>
      </c>
      <c r="B85" s="89" t="s">
        <v>127</v>
      </c>
      <c r="C85" s="77">
        <v>169.1</v>
      </c>
      <c r="D85" s="69">
        <v>169.1</v>
      </c>
      <c r="E85" s="32"/>
      <c r="F85" s="32"/>
      <c r="G85" s="32"/>
      <c r="H85" s="77">
        <v>169.1</v>
      </c>
      <c r="I85" s="78">
        <v>5774765</v>
      </c>
      <c r="J85" s="31">
        <f t="shared" si="8"/>
        <v>34150</v>
      </c>
      <c r="K85" s="32"/>
      <c r="L85" s="32"/>
      <c r="M85" s="32"/>
      <c r="N85" s="32"/>
      <c r="O85" s="32"/>
      <c r="P85" s="32"/>
      <c r="Q85" s="70">
        <f t="shared" si="9"/>
        <v>5774765</v>
      </c>
      <c r="R85" s="64">
        <v>0</v>
      </c>
      <c r="S85" s="31">
        <v>34150</v>
      </c>
      <c r="T85" s="31">
        <f t="shared" si="10"/>
        <v>25612.5</v>
      </c>
    </row>
    <row r="86" spans="1:20" ht="15.75">
      <c r="A86" s="184" t="s">
        <v>128</v>
      </c>
      <c r="B86" s="184"/>
      <c r="C86" s="31">
        <v>1096.32</v>
      </c>
      <c r="D86" s="69">
        <v>579.22</v>
      </c>
      <c r="E86" s="34"/>
      <c r="F86" s="34"/>
      <c r="G86" s="34"/>
      <c r="H86" s="31">
        <v>1096.32</v>
      </c>
      <c r="I86" s="63">
        <v>37439328</v>
      </c>
      <c r="J86" s="31">
        <f t="shared" si="8"/>
        <v>34150</v>
      </c>
      <c r="K86" s="34"/>
      <c r="L86" s="34"/>
      <c r="M86" s="34"/>
      <c r="N86" s="34"/>
      <c r="O86" s="34"/>
      <c r="P86" s="34"/>
      <c r="Q86" s="70">
        <f t="shared" si="9"/>
        <v>37439328</v>
      </c>
      <c r="R86" s="63">
        <v>0</v>
      </c>
      <c r="S86" s="31">
        <v>34150</v>
      </c>
      <c r="T86" s="31">
        <f t="shared" si="10"/>
        <v>25612.5</v>
      </c>
    </row>
    <row r="87" spans="1:20" ht="31.5">
      <c r="A87" s="10">
        <v>72</v>
      </c>
      <c r="B87" s="7" t="s">
        <v>129</v>
      </c>
      <c r="C87" s="31">
        <v>1096.32</v>
      </c>
      <c r="D87" s="69">
        <v>579.22</v>
      </c>
      <c r="E87" s="34"/>
      <c r="F87" s="34"/>
      <c r="G87" s="34"/>
      <c r="H87" s="31">
        <v>1096.32</v>
      </c>
      <c r="I87" s="65">
        <v>37439328</v>
      </c>
      <c r="J87" s="31">
        <f t="shared" si="8"/>
        <v>34150</v>
      </c>
      <c r="K87" s="32"/>
      <c r="L87" s="34"/>
      <c r="M87" s="34"/>
      <c r="N87" s="34"/>
      <c r="O87" s="32"/>
      <c r="P87" s="32"/>
      <c r="Q87" s="70">
        <f t="shared" si="9"/>
        <v>37439328</v>
      </c>
      <c r="R87" s="63">
        <v>0</v>
      </c>
      <c r="S87" s="31">
        <v>34150</v>
      </c>
      <c r="T87" s="31">
        <f t="shared" si="10"/>
        <v>25612.5</v>
      </c>
    </row>
    <row r="88" spans="1:20" ht="15.75">
      <c r="A88" s="158" t="s">
        <v>130</v>
      </c>
      <c r="B88" s="158"/>
      <c r="C88" s="82">
        <v>2983.66</v>
      </c>
      <c r="D88" s="69">
        <v>321.3</v>
      </c>
      <c r="E88" s="53"/>
      <c r="F88" s="53"/>
      <c r="G88" s="53"/>
      <c r="H88" s="82">
        <v>2983.66</v>
      </c>
      <c r="I88" s="84">
        <v>101891989</v>
      </c>
      <c r="J88" s="31">
        <f t="shared" si="8"/>
        <v>34150</v>
      </c>
      <c r="K88" s="53"/>
      <c r="L88" s="53"/>
      <c r="M88" s="53"/>
      <c r="N88" s="53"/>
      <c r="O88" s="53"/>
      <c r="P88" s="53"/>
      <c r="Q88" s="70">
        <f t="shared" si="9"/>
        <v>101891989</v>
      </c>
      <c r="R88" s="66">
        <v>0</v>
      </c>
      <c r="S88" s="31">
        <v>34150</v>
      </c>
      <c r="T88" s="31">
        <f t="shared" si="10"/>
        <v>25612.5</v>
      </c>
    </row>
    <row r="89" spans="1:20" ht="31.5">
      <c r="A89" s="45">
        <v>73</v>
      </c>
      <c r="B89" s="91" t="s">
        <v>131</v>
      </c>
      <c r="C89" s="82">
        <v>302.2</v>
      </c>
      <c r="D89" s="69">
        <v>0</v>
      </c>
      <c r="E89" s="34"/>
      <c r="F89" s="34"/>
      <c r="G89" s="34"/>
      <c r="H89" s="82">
        <v>302.2</v>
      </c>
      <c r="I89" s="81">
        <v>10320130</v>
      </c>
      <c r="J89" s="31">
        <f t="shared" si="8"/>
        <v>34150</v>
      </c>
      <c r="K89" s="34"/>
      <c r="L89" s="34"/>
      <c r="M89" s="34"/>
      <c r="N89" s="34"/>
      <c r="O89" s="34"/>
      <c r="P89" s="34"/>
      <c r="Q89" s="70">
        <f t="shared" si="9"/>
        <v>10320130</v>
      </c>
      <c r="R89" s="63">
        <v>0</v>
      </c>
      <c r="S89" s="31">
        <v>34150</v>
      </c>
      <c r="T89" s="31">
        <f t="shared" si="10"/>
        <v>25612.5</v>
      </c>
    </row>
    <row r="90" spans="1:20" ht="31.5">
      <c r="A90" s="45">
        <f>A89+1</f>
        <v>74</v>
      </c>
      <c r="B90" s="91" t="s">
        <v>132</v>
      </c>
      <c r="C90" s="82">
        <v>337.1</v>
      </c>
      <c r="D90" s="69">
        <v>0</v>
      </c>
      <c r="E90" s="34"/>
      <c r="F90" s="34"/>
      <c r="G90" s="34"/>
      <c r="H90" s="82">
        <v>337.1</v>
      </c>
      <c r="I90" s="81">
        <v>11511965</v>
      </c>
      <c r="J90" s="31">
        <f t="shared" si="8"/>
        <v>34150</v>
      </c>
      <c r="K90" s="34"/>
      <c r="L90" s="34"/>
      <c r="M90" s="34"/>
      <c r="N90" s="34"/>
      <c r="O90" s="34"/>
      <c r="P90" s="34"/>
      <c r="Q90" s="70">
        <f t="shared" si="9"/>
        <v>11511965</v>
      </c>
      <c r="R90" s="63">
        <v>0</v>
      </c>
      <c r="S90" s="31">
        <v>34150</v>
      </c>
      <c r="T90" s="31">
        <f t="shared" si="10"/>
        <v>25612.5</v>
      </c>
    </row>
    <row r="91" spans="1:20" ht="31.5">
      <c r="A91" s="45">
        <f aca="true" t="shared" si="11" ref="A91:A98">A90+1</f>
        <v>75</v>
      </c>
      <c r="B91" s="91" t="s">
        <v>133</v>
      </c>
      <c r="C91" s="82">
        <v>320.7</v>
      </c>
      <c r="D91" s="69">
        <v>0</v>
      </c>
      <c r="E91" s="34"/>
      <c r="F91" s="34"/>
      <c r="G91" s="34"/>
      <c r="H91" s="82">
        <v>320.7</v>
      </c>
      <c r="I91" s="81">
        <v>10951905</v>
      </c>
      <c r="J91" s="31">
        <f t="shared" si="8"/>
        <v>34150</v>
      </c>
      <c r="K91" s="34"/>
      <c r="L91" s="34"/>
      <c r="M91" s="34"/>
      <c r="N91" s="34"/>
      <c r="O91" s="34"/>
      <c r="P91" s="34"/>
      <c r="Q91" s="70">
        <f t="shared" si="9"/>
        <v>10951905</v>
      </c>
      <c r="R91" s="63">
        <v>0</v>
      </c>
      <c r="S91" s="31">
        <v>34150</v>
      </c>
      <c r="T91" s="31">
        <f t="shared" si="10"/>
        <v>25612.5</v>
      </c>
    </row>
    <row r="92" spans="1:20" ht="31.5">
      <c r="A92" s="45">
        <f t="shared" si="11"/>
        <v>76</v>
      </c>
      <c r="B92" s="91" t="s">
        <v>134</v>
      </c>
      <c r="C92" s="82">
        <v>305.2</v>
      </c>
      <c r="D92" s="69">
        <v>0</v>
      </c>
      <c r="E92" s="34"/>
      <c r="F92" s="34"/>
      <c r="G92" s="34"/>
      <c r="H92" s="82">
        <v>305.2</v>
      </c>
      <c r="I92" s="81">
        <v>10422580</v>
      </c>
      <c r="J92" s="31">
        <f t="shared" si="8"/>
        <v>34150</v>
      </c>
      <c r="K92" s="34"/>
      <c r="L92" s="34"/>
      <c r="M92" s="34"/>
      <c r="N92" s="34"/>
      <c r="O92" s="34"/>
      <c r="P92" s="34"/>
      <c r="Q92" s="70">
        <f t="shared" si="9"/>
        <v>10422580</v>
      </c>
      <c r="R92" s="63">
        <v>0</v>
      </c>
      <c r="S92" s="31">
        <v>34150</v>
      </c>
      <c r="T92" s="31">
        <f t="shared" si="10"/>
        <v>25612.5</v>
      </c>
    </row>
    <row r="93" spans="1:20" ht="31.5">
      <c r="A93" s="45">
        <f t="shared" si="11"/>
        <v>77</v>
      </c>
      <c r="B93" s="91" t="s">
        <v>135</v>
      </c>
      <c r="C93" s="82">
        <v>352.96</v>
      </c>
      <c r="D93" s="69">
        <v>116.2</v>
      </c>
      <c r="E93" s="34"/>
      <c r="F93" s="34"/>
      <c r="G93" s="34"/>
      <c r="H93" s="82">
        <v>352.96</v>
      </c>
      <c r="I93" s="81">
        <v>12053584</v>
      </c>
      <c r="J93" s="31">
        <f t="shared" si="8"/>
        <v>34150</v>
      </c>
      <c r="K93" s="34"/>
      <c r="L93" s="34"/>
      <c r="M93" s="34"/>
      <c r="N93" s="34"/>
      <c r="O93" s="34"/>
      <c r="P93" s="34"/>
      <c r="Q93" s="70">
        <f t="shared" si="9"/>
        <v>12053584</v>
      </c>
      <c r="R93" s="63">
        <v>0</v>
      </c>
      <c r="S93" s="31">
        <v>34150</v>
      </c>
      <c r="T93" s="31">
        <f t="shared" si="10"/>
        <v>25612.5</v>
      </c>
    </row>
    <row r="94" spans="1:20" ht="31.5">
      <c r="A94" s="45">
        <f t="shared" si="11"/>
        <v>78</v>
      </c>
      <c r="B94" s="91" t="s">
        <v>136</v>
      </c>
      <c r="C94" s="82">
        <v>276.3</v>
      </c>
      <c r="D94" s="69">
        <v>65</v>
      </c>
      <c r="E94" s="34"/>
      <c r="F94" s="34"/>
      <c r="G94" s="34"/>
      <c r="H94" s="82">
        <v>276.3</v>
      </c>
      <c r="I94" s="81">
        <v>9435644.999999998</v>
      </c>
      <c r="J94" s="31">
        <f t="shared" si="8"/>
        <v>34149.99999999999</v>
      </c>
      <c r="K94" s="34"/>
      <c r="L94" s="34"/>
      <c r="M94" s="34"/>
      <c r="N94" s="34"/>
      <c r="O94" s="34"/>
      <c r="P94" s="34"/>
      <c r="Q94" s="70">
        <f t="shared" si="9"/>
        <v>9435644.999999998</v>
      </c>
      <c r="R94" s="63">
        <v>0</v>
      </c>
      <c r="S94" s="31">
        <v>34150</v>
      </c>
      <c r="T94" s="31">
        <f t="shared" si="10"/>
        <v>25612.5</v>
      </c>
    </row>
    <row r="95" spans="1:20" ht="31.5">
      <c r="A95" s="45">
        <f t="shared" si="11"/>
        <v>79</v>
      </c>
      <c r="B95" s="91" t="s">
        <v>137</v>
      </c>
      <c r="C95" s="82">
        <v>101.6</v>
      </c>
      <c r="D95" s="69">
        <v>0</v>
      </c>
      <c r="E95" s="34"/>
      <c r="F95" s="34"/>
      <c r="G95" s="34"/>
      <c r="H95" s="82">
        <v>101.6</v>
      </c>
      <c r="I95" s="81">
        <v>3469640</v>
      </c>
      <c r="J95" s="31">
        <f t="shared" si="8"/>
        <v>34150</v>
      </c>
      <c r="K95" s="34"/>
      <c r="L95" s="34"/>
      <c r="M95" s="34"/>
      <c r="N95" s="34"/>
      <c r="O95" s="34"/>
      <c r="P95" s="34"/>
      <c r="Q95" s="70">
        <f t="shared" si="9"/>
        <v>3469640</v>
      </c>
      <c r="R95" s="63">
        <v>0</v>
      </c>
      <c r="S95" s="31">
        <v>34150</v>
      </c>
      <c r="T95" s="31">
        <f t="shared" si="10"/>
        <v>25612.5</v>
      </c>
    </row>
    <row r="96" spans="1:20" ht="31.5">
      <c r="A96" s="45">
        <f t="shared" si="11"/>
        <v>80</v>
      </c>
      <c r="B96" s="91" t="s">
        <v>138</v>
      </c>
      <c r="C96" s="82">
        <v>393.4</v>
      </c>
      <c r="D96" s="69">
        <v>38.1</v>
      </c>
      <c r="E96" s="34"/>
      <c r="F96" s="34"/>
      <c r="G96" s="34"/>
      <c r="H96" s="82">
        <v>393.4</v>
      </c>
      <c r="I96" s="81">
        <v>13434610.000000002</v>
      </c>
      <c r="J96" s="31">
        <f t="shared" si="8"/>
        <v>34150.00000000001</v>
      </c>
      <c r="K96" s="34"/>
      <c r="L96" s="34"/>
      <c r="M96" s="34"/>
      <c r="N96" s="34"/>
      <c r="O96" s="34"/>
      <c r="P96" s="34"/>
      <c r="Q96" s="70">
        <f t="shared" si="9"/>
        <v>13434610.000000002</v>
      </c>
      <c r="R96" s="63">
        <v>0</v>
      </c>
      <c r="S96" s="31">
        <v>34150</v>
      </c>
      <c r="T96" s="31">
        <f t="shared" si="10"/>
        <v>25612.5</v>
      </c>
    </row>
    <row r="97" spans="1:20" ht="31.5">
      <c r="A97" s="45">
        <f t="shared" si="11"/>
        <v>81</v>
      </c>
      <c r="B97" s="91" t="s">
        <v>139</v>
      </c>
      <c r="C97" s="82">
        <v>285.8</v>
      </c>
      <c r="D97" s="69">
        <v>0</v>
      </c>
      <c r="E97" s="34"/>
      <c r="F97" s="34"/>
      <c r="G97" s="34"/>
      <c r="H97" s="82">
        <v>285.8</v>
      </c>
      <c r="I97" s="81">
        <v>9760069.999999998</v>
      </c>
      <c r="J97" s="31">
        <f t="shared" si="8"/>
        <v>34149.99999999999</v>
      </c>
      <c r="K97" s="34"/>
      <c r="L97" s="34"/>
      <c r="M97" s="34"/>
      <c r="N97" s="34"/>
      <c r="O97" s="34"/>
      <c r="P97" s="34"/>
      <c r="Q97" s="70">
        <f t="shared" si="9"/>
        <v>9760069.999999998</v>
      </c>
      <c r="R97" s="63">
        <v>0</v>
      </c>
      <c r="S97" s="31">
        <v>34150</v>
      </c>
      <c r="T97" s="31">
        <f t="shared" si="10"/>
        <v>25612.5</v>
      </c>
    </row>
    <row r="98" spans="1:20" ht="31.5">
      <c r="A98" s="45">
        <f t="shared" si="11"/>
        <v>82</v>
      </c>
      <c r="B98" s="91" t="s">
        <v>140</v>
      </c>
      <c r="C98" s="82">
        <v>308.4</v>
      </c>
      <c r="D98" s="69">
        <v>102</v>
      </c>
      <c r="E98" s="34"/>
      <c r="F98" s="34"/>
      <c r="G98" s="34"/>
      <c r="H98" s="82">
        <v>308.4</v>
      </c>
      <c r="I98" s="81">
        <v>10531860</v>
      </c>
      <c r="J98" s="31">
        <f t="shared" si="8"/>
        <v>34150</v>
      </c>
      <c r="K98" s="34"/>
      <c r="L98" s="34"/>
      <c r="M98" s="34"/>
      <c r="N98" s="34"/>
      <c r="O98" s="34"/>
      <c r="P98" s="34"/>
      <c r="Q98" s="70">
        <f t="shared" si="9"/>
        <v>10531860</v>
      </c>
      <c r="R98" s="63">
        <v>0</v>
      </c>
      <c r="S98" s="31">
        <v>34150</v>
      </c>
      <c r="T98" s="31">
        <f t="shared" si="10"/>
        <v>25612.5</v>
      </c>
    </row>
    <row r="99" spans="1:20" ht="15.75">
      <c r="A99" s="149" t="s">
        <v>141</v>
      </c>
      <c r="B99" s="149"/>
      <c r="C99" s="59">
        <v>2884.3</v>
      </c>
      <c r="D99" s="69">
        <v>1046</v>
      </c>
      <c r="E99" s="34"/>
      <c r="F99" s="109"/>
      <c r="G99" s="109"/>
      <c r="H99" s="59">
        <v>2884.3</v>
      </c>
      <c r="I99" s="65">
        <v>98498845</v>
      </c>
      <c r="J99" s="31">
        <f t="shared" si="8"/>
        <v>34150</v>
      </c>
      <c r="K99" s="109"/>
      <c r="L99" s="109"/>
      <c r="M99" s="109"/>
      <c r="N99" s="109"/>
      <c r="O99" s="109"/>
      <c r="P99" s="109"/>
      <c r="Q99" s="70">
        <f t="shared" si="9"/>
        <v>98498845</v>
      </c>
      <c r="R99" s="63">
        <v>0</v>
      </c>
      <c r="S99" s="31">
        <v>34150</v>
      </c>
      <c r="T99" s="31">
        <f t="shared" si="10"/>
        <v>25612.5</v>
      </c>
    </row>
    <row r="100" spans="1:20" ht="31.5">
      <c r="A100" s="43">
        <v>83</v>
      </c>
      <c r="B100" s="57" t="s">
        <v>142</v>
      </c>
      <c r="C100" s="59">
        <v>121.7</v>
      </c>
      <c r="D100" s="69">
        <v>31.2</v>
      </c>
      <c r="E100" s="34"/>
      <c r="F100" s="109"/>
      <c r="G100" s="109"/>
      <c r="H100" s="59">
        <v>121.7</v>
      </c>
      <c r="I100" s="83">
        <v>4156055</v>
      </c>
      <c r="J100" s="31">
        <f t="shared" si="8"/>
        <v>34150</v>
      </c>
      <c r="K100" s="109"/>
      <c r="L100" s="109"/>
      <c r="M100" s="109"/>
      <c r="N100" s="109"/>
      <c r="O100" s="109"/>
      <c r="P100" s="109"/>
      <c r="Q100" s="70">
        <f t="shared" si="9"/>
        <v>4156055</v>
      </c>
      <c r="R100" s="63">
        <v>0</v>
      </c>
      <c r="S100" s="31">
        <v>34150</v>
      </c>
      <c r="T100" s="31">
        <f t="shared" si="10"/>
        <v>25612.5</v>
      </c>
    </row>
    <row r="101" spans="1:20" ht="31.5">
      <c r="A101" s="43">
        <f>A100+1</f>
        <v>84</v>
      </c>
      <c r="B101" s="57" t="s">
        <v>143</v>
      </c>
      <c r="C101" s="59">
        <v>98.3</v>
      </c>
      <c r="D101" s="69">
        <v>32.1</v>
      </c>
      <c r="E101" s="34"/>
      <c r="F101" s="109"/>
      <c r="G101" s="109"/>
      <c r="H101" s="59">
        <v>98.3</v>
      </c>
      <c r="I101" s="83">
        <v>3356945</v>
      </c>
      <c r="J101" s="31">
        <f t="shared" si="8"/>
        <v>34150</v>
      </c>
      <c r="K101" s="109"/>
      <c r="L101" s="109"/>
      <c r="M101" s="109"/>
      <c r="N101" s="109"/>
      <c r="O101" s="109"/>
      <c r="P101" s="109"/>
      <c r="Q101" s="70">
        <f t="shared" si="9"/>
        <v>3356945</v>
      </c>
      <c r="R101" s="63">
        <v>0</v>
      </c>
      <c r="S101" s="31">
        <v>34150</v>
      </c>
      <c r="T101" s="31">
        <f t="shared" si="10"/>
        <v>25612.5</v>
      </c>
    </row>
    <row r="102" spans="1:20" ht="47.25">
      <c r="A102" s="43">
        <f aca="true" t="shared" si="12" ref="A102:A113">A101+1</f>
        <v>85</v>
      </c>
      <c r="B102" s="57" t="s">
        <v>144</v>
      </c>
      <c r="C102" s="59">
        <v>129.4</v>
      </c>
      <c r="D102" s="69">
        <v>97.1</v>
      </c>
      <c r="E102" s="34"/>
      <c r="F102" s="109"/>
      <c r="G102" s="109"/>
      <c r="H102" s="59">
        <v>129.4</v>
      </c>
      <c r="I102" s="83">
        <v>4419010</v>
      </c>
      <c r="J102" s="31">
        <f t="shared" si="8"/>
        <v>34150</v>
      </c>
      <c r="K102" s="109"/>
      <c r="L102" s="109"/>
      <c r="M102" s="109"/>
      <c r="N102" s="109"/>
      <c r="O102" s="109"/>
      <c r="P102" s="109"/>
      <c r="Q102" s="70">
        <f t="shared" si="9"/>
        <v>4419010</v>
      </c>
      <c r="R102" s="63">
        <v>0</v>
      </c>
      <c r="S102" s="31">
        <v>34150</v>
      </c>
      <c r="T102" s="31">
        <f t="shared" si="10"/>
        <v>25612.5</v>
      </c>
    </row>
    <row r="103" spans="1:20" ht="31.5">
      <c r="A103" s="43">
        <f t="shared" si="12"/>
        <v>86</v>
      </c>
      <c r="B103" s="57" t="s">
        <v>145</v>
      </c>
      <c r="C103" s="59">
        <v>156.5</v>
      </c>
      <c r="D103" s="69">
        <v>131.8</v>
      </c>
      <c r="E103" s="34"/>
      <c r="F103" s="109"/>
      <c r="G103" s="109"/>
      <c r="H103" s="59">
        <v>156.5</v>
      </c>
      <c r="I103" s="83">
        <v>5344475</v>
      </c>
      <c r="J103" s="31">
        <f>I103/H103</f>
        <v>34150</v>
      </c>
      <c r="K103" s="109"/>
      <c r="L103" s="109"/>
      <c r="M103" s="109"/>
      <c r="N103" s="109"/>
      <c r="O103" s="109"/>
      <c r="P103" s="109"/>
      <c r="Q103" s="70">
        <f t="shared" si="9"/>
        <v>5344475</v>
      </c>
      <c r="R103" s="63">
        <v>0</v>
      </c>
      <c r="S103" s="31">
        <v>34150</v>
      </c>
      <c r="T103" s="31">
        <f t="shared" si="10"/>
        <v>25612.5</v>
      </c>
    </row>
    <row r="104" spans="1:20" ht="31.5">
      <c r="A104" s="43">
        <f t="shared" si="12"/>
        <v>87</v>
      </c>
      <c r="B104" s="57" t="s">
        <v>146</v>
      </c>
      <c r="C104" s="59">
        <v>195.1</v>
      </c>
      <c r="D104" s="69">
        <v>129.6</v>
      </c>
      <c r="E104" s="34"/>
      <c r="F104" s="109"/>
      <c r="G104" s="109"/>
      <c r="H104" s="59">
        <v>195.1</v>
      </c>
      <c r="I104" s="83">
        <v>6662665</v>
      </c>
      <c r="J104" s="31">
        <f t="shared" si="8"/>
        <v>34150</v>
      </c>
      <c r="K104" s="109"/>
      <c r="L104" s="109"/>
      <c r="M104" s="109"/>
      <c r="N104" s="109"/>
      <c r="O104" s="109"/>
      <c r="P104" s="109"/>
      <c r="Q104" s="70">
        <f t="shared" si="9"/>
        <v>6662665</v>
      </c>
      <c r="R104" s="63">
        <v>0</v>
      </c>
      <c r="S104" s="31">
        <v>34150</v>
      </c>
      <c r="T104" s="31">
        <f t="shared" si="10"/>
        <v>25612.5</v>
      </c>
    </row>
    <row r="105" spans="1:20" ht="31.5">
      <c r="A105" s="43">
        <f t="shared" si="12"/>
        <v>88</v>
      </c>
      <c r="B105" s="57" t="s">
        <v>147</v>
      </c>
      <c r="C105" s="59">
        <v>245.7</v>
      </c>
      <c r="D105" s="69">
        <v>112.2</v>
      </c>
      <c r="E105" s="34"/>
      <c r="F105" s="109"/>
      <c r="G105" s="109"/>
      <c r="H105" s="59">
        <v>245.7</v>
      </c>
      <c r="I105" s="83">
        <v>8390655</v>
      </c>
      <c r="J105" s="31">
        <f t="shared" si="8"/>
        <v>34150</v>
      </c>
      <c r="K105" s="109"/>
      <c r="L105" s="109"/>
      <c r="M105" s="109"/>
      <c r="N105" s="109"/>
      <c r="O105" s="109"/>
      <c r="P105" s="109"/>
      <c r="Q105" s="70">
        <f t="shared" si="9"/>
        <v>8390655</v>
      </c>
      <c r="R105" s="63">
        <v>0</v>
      </c>
      <c r="S105" s="31">
        <v>34150</v>
      </c>
      <c r="T105" s="31">
        <f t="shared" si="10"/>
        <v>25612.5</v>
      </c>
    </row>
    <row r="106" spans="1:20" ht="31.5">
      <c r="A106" s="43">
        <f t="shared" si="12"/>
        <v>89</v>
      </c>
      <c r="B106" s="57" t="s">
        <v>148</v>
      </c>
      <c r="C106" s="59">
        <v>130.2</v>
      </c>
      <c r="D106" s="69">
        <v>32.2</v>
      </c>
      <c r="E106" s="34"/>
      <c r="F106" s="109"/>
      <c r="G106" s="109"/>
      <c r="H106" s="59">
        <v>130.2</v>
      </c>
      <c r="I106" s="83">
        <v>4446330</v>
      </c>
      <c r="J106" s="31">
        <f t="shared" si="8"/>
        <v>34150</v>
      </c>
      <c r="K106" s="109"/>
      <c r="L106" s="109"/>
      <c r="M106" s="109"/>
      <c r="N106" s="109"/>
      <c r="O106" s="109"/>
      <c r="P106" s="109"/>
      <c r="Q106" s="70">
        <f t="shared" si="9"/>
        <v>4446330</v>
      </c>
      <c r="R106" s="63">
        <v>0</v>
      </c>
      <c r="S106" s="31">
        <v>34150</v>
      </c>
      <c r="T106" s="31">
        <f t="shared" si="10"/>
        <v>25612.5</v>
      </c>
    </row>
    <row r="107" spans="1:20" ht="31.5">
      <c r="A107" s="43">
        <f t="shared" si="12"/>
        <v>90</v>
      </c>
      <c r="B107" s="57" t="s">
        <v>149</v>
      </c>
      <c r="C107" s="59">
        <v>501.5</v>
      </c>
      <c r="D107" s="69">
        <v>0</v>
      </c>
      <c r="E107" s="34"/>
      <c r="F107" s="109"/>
      <c r="G107" s="109"/>
      <c r="H107" s="59">
        <v>501.5</v>
      </c>
      <c r="I107" s="83">
        <v>17126225</v>
      </c>
      <c r="J107" s="31">
        <f t="shared" si="8"/>
        <v>34150</v>
      </c>
      <c r="K107" s="109"/>
      <c r="L107" s="109"/>
      <c r="M107" s="109"/>
      <c r="N107" s="109"/>
      <c r="O107" s="109"/>
      <c r="P107" s="109"/>
      <c r="Q107" s="70">
        <f t="shared" si="9"/>
        <v>17126225</v>
      </c>
      <c r="R107" s="63">
        <v>0</v>
      </c>
      <c r="S107" s="31">
        <v>34150</v>
      </c>
      <c r="T107" s="31">
        <f t="shared" si="10"/>
        <v>25612.5</v>
      </c>
    </row>
    <row r="108" spans="1:20" ht="31.5">
      <c r="A108" s="43">
        <f t="shared" si="12"/>
        <v>91</v>
      </c>
      <c r="B108" s="57" t="s">
        <v>150</v>
      </c>
      <c r="C108" s="59">
        <v>504.7</v>
      </c>
      <c r="D108" s="69">
        <v>50.3</v>
      </c>
      <c r="E108" s="34"/>
      <c r="F108" s="109"/>
      <c r="G108" s="109"/>
      <c r="H108" s="59">
        <v>504.7</v>
      </c>
      <c r="I108" s="83">
        <v>17235505</v>
      </c>
      <c r="J108" s="31">
        <f t="shared" si="8"/>
        <v>34150</v>
      </c>
      <c r="K108" s="109"/>
      <c r="L108" s="109"/>
      <c r="M108" s="109"/>
      <c r="N108" s="109"/>
      <c r="O108" s="109"/>
      <c r="P108" s="109"/>
      <c r="Q108" s="70">
        <f t="shared" si="9"/>
        <v>17235505</v>
      </c>
      <c r="R108" s="63">
        <v>0</v>
      </c>
      <c r="S108" s="31">
        <v>34150</v>
      </c>
      <c r="T108" s="31">
        <f t="shared" si="10"/>
        <v>25612.5</v>
      </c>
    </row>
    <row r="109" spans="1:20" ht="31.5">
      <c r="A109" s="43">
        <f t="shared" si="12"/>
        <v>92</v>
      </c>
      <c r="B109" s="57" t="s">
        <v>151</v>
      </c>
      <c r="C109" s="59">
        <v>130.2</v>
      </c>
      <c r="D109" s="69">
        <v>69.1</v>
      </c>
      <c r="E109" s="34"/>
      <c r="F109" s="109"/>
      <c r="G109" s="109"/>
      <c r="H109" s="59">
        <v>130.2</v>
      </c>
      <c r="I109" s="83">
        <v>4446330</v>
      </c>
      <c r="J109" s="31">
        <f t="shared" si="8"/>
        <v>34150</v>
      </c>
      <c r="K109" s="109"/>
      <c r="L109" s="109"/>
      <c r="M109" s="109"/>
      <c r="N109" s="109"/>
      <c r="O109" s="109"/>
      <c r="P109" s="109"/>
      <c r="Q109" s="70">
        <f t="shared" si="9"/>
        <v>4446330</v>
      </c>
      <c r="R109" s="63">
        <v>0</v>
      </c>
      <c r="S109" s="31">
        <v>34150</v>
      </c>
      <c r="T109" s="31">
        <f t="shared" si="10"/>
        <v>25612.5</v>
      </c>
    </row>
    <row r="110" spans="1:20" ht="31.5">
      <c r="A110" s="43">
        <f t="shared" si="12"/>
        <v>93</v>
      </c>
      <c r="B110" s="57" t="s">
        <v>152</v>
      </c>
      <c r="C110" s="59">
        <v>114.3</v>
      </c>
      <c r="D110" s="69">
        <v>86.4</v>
      </c>
      <c r="E110" s="34"/>
      <c r="F110" s="109"/>
      <c r="G110" s="109"/>
      <c r="H110" s="59">
        <v>114.3</v>
      </c>
      <c r="I110" s="83">
        <v>3903345</v>
      </c>
      <c r="J110" s="31">
        <f t="shared" si="8"/>
        <v>34150</v>
      </c>
      <c r="K110" s="109"/>
      <c r="L110" s="109"/>
      <c r="M110" s="109"/>
      <c r="N110" s="109"/>
      <c r="O110" s="109"/>
      <c r="P110" s="109"/>
      <c r="Q110" s="70">
        <f t="shared" si="9"/>
        <v>3903345</v>
      </c>
      <c r="R110" s="63">
        <v>0</v>
      </c>
      <c r="S110" s="31">
        <v>34150</v>
      </c>
      <c r="T110" s="31">
        <f t="shared" si="10"/>
        <v>25612.5</v>
      </c>
    </row>
    <row r="111" spans="1:20" ht="31.5">
      <c r="A111" s="43">
        <f t="shared" si="12"/>
        <v>94</v>
      </c>
      <c r="B111" s="57" t="s">
        <v>153</v>
      </c>
      <c r="C111" s="59">
        <v>173.4</v>
      </c>
      <c r="D111" s="69">
        <v>173.4</v>
      </c>
      <c r="E111" s="34"/>
      <c r="F111" s="109"/>
      <c r="G111" s="109"/>
      <c r="H111" s="59">
        <v>173.4</v>
      </c>
      <c r="I111" s="83">
        <v>5921610</v>
      </c>
      <c r="J111" s="31">
        <f t="shared" si="8"/>
        <v>34150</v>
      </c>
      <c r="K111" s="109"/>
      <c r="L111" s="109"/>
      <c r="M111" s="109"/>
      <c r="N111" s="109"/>
      <c r="O111" s="109"/>
      <c r="P111" s="109"/>
      <c r="Q111" s="70">
        <f t="shared" si="9"/>
        <v>5921610</v>
      </c>
      <c r="R111" s="63">
        <v>0</v>
      </c>
      <c r="S111" s="31">
        <v>34150</v>
      </c>
      <c r="T111" s="31">
        <f t="shared" si="10"/>
        <v>25612.5</v>
      </c>
    </row>
    <row r="112" spans="1:20" ht="31.5">
      <c r="A112" s="43">
        <f t="shared" si="12"/>
        <v>95</v>
      </c>
      <c r="B112" s="57" t="s">
        <v>154</v>
      </c>
      <c r="C112" s="59">
        <v>324.6</v>
      </c>
      <c r="D112" s="69">
        <v>100.6</v>
      </c>
      <c r="E112" s="34"/>
      <c r="F112" s="109"/>
      <c r="G112" s="109"/>
      <c r="H112" s="59">
        <v>324.6</v>
      </c>
      <c r="I112" s="83">
        <v>11085090</v>
      </c>
      <c r="J112" s="31">
        <f t="shared" si="8"/>
        <v>34150</v>
      </c>
      <c r="K112" s="109"/>
      <c r="L112" s="109"/>
      <c r="M112" s="109"/>
      <c r="N112" s="109"/>
      <c r="O112" s="109"/>
      <c r="P112" s="109"/>
      <c r="Q112" s="70">
        <f t="shared" si="9"/>
        <v>11085090</v>
      </c>
      <c r="R112" s="63">
        <v>0</v>
      </c>
      <c r="S112" s="31">
        <v>34150</v>
      </c>
      <c r="T112" s="31">
        <f t="shared" si="10"/>
        <v>25612.5</v>
      </c>
    </row>
    <row r="113" spans="1:20" ht="31.5">
      <c r="A113" s="43">
        <f t="shared" si="12"/>
        <v>96</v>
      </c>
      <c r="B113" s="57" t="s">
        <v>155</v>
      </c>
      <c r="C113" s="59">
        <v>58.7</v>
      </c>
      <c r="D113" s="69">
        <v>0</v>
      </c>
      <c r="E113" s="34"/>
      <c r="F113" s="109"/>
      <c r="G113" s="109"/>
      <c r="H113" s="59">
        <v>58.7</v>
      </c>
      <c r="I113" s="83">
        <v>2004605</v>
      </c>
      <c r="J113" s="31">
        <f t="shared" si="8"/>
        <v>34150</v>
      </c>
      <c r="K113" s="109"/>
      <c r="L113" s="109"/>
      <c r="M113" s="109"/>
      <c r="N113" s="109"/>
      <c r="O113" s="109"/>
      <c r="P113" s="109"/>
      <c r="Q113" s="70">
        <f t="shared" si="9"/>
        <v>2004605</v>
      </c>
      <c r="R113" s="63">
        <v>0</v>
      </c>
      <c r="S113" s="31">
        <v>34150</v>
      </c>
      <c r="T113" s="31">
        <f t="shared" si="10"/>
        <v>25612.5</v>
      </c>
    </row>
    <row r="114" spans="1:20" ht="15.75">
      <c r="A114" s="180" t="s">
        <v>156</v>
      </c>
      <c r="B114" s="180"/>
      <c r="C114" s="31">
        <v>3052.54</v>
      </c>
      <c r="D114" s="69">
        <v>1683.5</v>
      </c>
      <c r="E114" s="53"/>
      <c r="F114" s="53"/>
      <c r="G114" s="53"/>
      <c r="H114" s="31">
        <v>3052.54</v>
      </c>
      <c r="I114" s="63">
        <v>104244241</v>
      </c>
      <c r="J114" s="31">
        <f t="shared" si="8"/>
        <v>34150</v>
      </c>
      <c r="K114" s="53"/>
      <c r="L114" s="53"/>
      <c r="M114" s="53"/>
      <c r="N114" s="53"/>
      <c r="O114" s="53"/>
      <c r="P114" s="53"/>
      <c r="Q114" s="70">
        <f t="shared" si="9"/>
        <v>104244241</v>
      </c>
      <c r="R114" s="66">
        <v>0</v>
      </c>
      <c r="S114" s="31">
        <v>34150</v>
      </c>
      <c r="T114" s="31">
        <f t="shared" si="10"/>
        <v>25612.5</v>
      </c>
    </row>
    <row r="115" spans="1:20" ht="31.5">
      <c r="A115" s="10">
        <v>97</v>
      </c>
      <c r="B115" s="93" t="s">
        <v>157</v>
      </c>
      <c r="C115" s="31">
        <v>200.15</v>
      </c>
      <c r="D115" s="69">
        <v>103.9</v>
      </c>
      <c r="E115" s="34"/>
      <c r="F115" s="34"/>
      <c r="G115" s="34"/>
      <c r="H115" s="31">
        <v>200.15</v>
      </c>
      <c r="I115" s="63">
        <v>6835122.500000001</v>
      </c>
      <c r="J115" s="31">
        <f t="shared" si="8"/>
        <v>34150.00000000001</v>
      </c>
      <c r="K115" s="34"/>
      <c r="L115" s="34"/>
      <c r="M115" s="34"/>
      <c r="N115" s="34"/>
      <c r="O115" s="34"/>
      <c r="P115" s="34"/>
      <c r="Q115" s="70">
        <f t="shared" si="9"/>
        <v>6835122.500000001</v>
      </c>
      <c r="R115" s="63">
        <v>0</v>
      </c>
      <c r="S115" s="31">
        <v>34150</v>
      </c>
      <c r="T115" s="31">
        <f t="shared" si="10"/>
        <v>25612.5</v>
      </c>
    </row>
    <row r="116" spans="1:20" ht="31.5">
      <c r="A116" s="10">
        <f>A115+1</f>
        <v>98</v>
      </c>
      <c r="B116" s="93" t="s">
        <v>159</v>
      </c>
      <c r="C116" s="31">
        <v>557.15</v>
      </c>
      <c r="D116" s="69">
        <v>66.8</v>
      </c>
      <c r="E116" s="34"/>
      <c r="F116" s="34"/>
      <c r="G116" s="34"/>
      <c r="H116" s="31">
        <v>557.15</v>
      </c>
      <c r="I116" s="63">
        <v>19026672.5</v>
      </c>
      <c r="J116" s="31">
        <f t="shared" si="8"/>
        <v>34150</v>
      </c>
      <c r="K116" s="34"/>
      <c r="L116" s="34"/>
      <c r="M116" s="34"/>
      <c r="N116" s="34"/>
      <c r="O116" s="34"/>
      <c r="P116" s="34"/>
      <c r="Q116" s="70">
        <f t="shared" si="9"/>
        <v>19026672.5</v>
      </c>
      <c r="R116" s="63">
        <v>0</v>
      </c>
      <c r="S116" s="31">
        <v>34150</v>
      </c>
      <c r="T116" s="31">
        <f t="shared" si="10"/>
        <v>25612.5</v>
      </c>
    </row>
    <row r="117" spans="1:20" ht="31.5">
      <c r="A117" s="10">
        <f aca="true" t="shared" si="13" ref="A117:A123">A116+1</f>
        <v>99</v>
      </c>
      <c r="B117" s="94" t="s">
        <v>160</v>
      </c>
      <c r="C117" s="31">
        <v>507.3</v>
      </c>
      <c r="D117" s="69">
        <v>507.29999999999995</v>
      </c>
      <c r="E117" s="34"/>
      <c r="F117" s="34"/>
      <c r="G117" s="34"/>
      <c r="H117" s="31">
        <v>507.3</v>
      </c>
      <c r="I117" s="63">
        <v>17324295</v>
      </c>
      <c r="J117" s="31">
        <f t="shared" si="8"/>
        <v>34150</v>
      </c>
      <c r="K117" s="34"/>
      <c r="L117" s="34"/>
      <c r="M117" s="34"/>
      <c r="N117" s="34"/>
      <c r="O117" s="34"/>
      <c r="P117" s="34"/>
      <c r="Q117" s="70">
        <f t="shared" si="9"/>
        <v>17324295</v>
      </c>
      <c r="R117" s="63">
        <v>0</v>
      </c>
      <c r="S117" s="31">
        <v>34150</v>
      </c>
      <c r="T117" s="31">
        <f t="shared" si="10"/>
        <v>25612.5</v>
      </c>
    </row>
    <row r="118" spans="1:20" ht="31.5">
      <c r="A118" s="10">
        <f t="shared" si="13"/>
        <v>100</v>
      </c>
      <c r="B118" s="94" t="s">
        <v>161</v>
      </c>
      <c r="C118" s="31">
        <v>481.8</v>
      </c>
      <c r="D118" s="69">
        <v>121.8</v>
      </c>
      <c r="E118" s="34"/>
      <c r="F118" s="34"/>
      <c r="G118" s="34"/>
      <c r="H118" s="31">
        <v>481.8</v>
      </c>
      <c r="I118" s="63">
        <v>16453470</v>
      </c>
      <c r="J118" s="31">
        <f t="shared" si="8"/>
        <v>34150</v>
      </c>
      <c r="K118" s="34"/>
      <c r="L118" s="34"/>
      <c r="M118" s="34"/>
      <c r="N118" s="34"/>
      <c r="O118" s="34"/>
      <c r="P118" s="34"/>
      <c r="Q118" s="70">
        <f t="shared" si="9"/>
        <v>16453470</v>
      </c>
      <c r="R118" s="63">
        <v>0</v>
      </c>
      <c r="S118" s="31">
        <v>34150</v>
      </c>
      <c r="T118" s="31">
        <f t="shared" si="10"/>
        <v>25612.5</v>
      </c>
    </row>
    <row r="119" spans="1:20" ht="31.5">
      <c r="A119" s="10">
        <f t="shared" si="13"/>
        <v>101</v>
      </c>
      <c r="B119" s="94" t="s">
        <v>162</v>
      </c>
      <c r="C119" s="31">
        <v>494.2</v>
      </c>
      <c r="D119" s="69">
        <v>457.20000000000005</v>
      </c>
      <c r="E119" s="34"/>
      <c r="F119" s="34"/>
      <c r="G119" s="34"/>
      <c r="H119" s="31">
        <v>494.2</v>
      </c>
      <c r="I119" s="63">
        <v>16876930</v>
      </c>
      <c r="J119" s="31">
        <f t="shared" si="8"/>
        <v>34150</v>
      </c>
      <c r="K119" s="34"/>
      <c r="L119" s="34"/>
      <c r="M119" s="34"/>
      <c r="N119" s="34"/>
      <c r="O119" s="34"/>
      <c r="P119" s="34"/>
      <c r="Q119" s="70">
        <f t="shared" si="9"/>
        <v>16876930</v>
      </c>
      <c r="R119" s="63">
        <v>0</v>
      </c>
      <c r="S119" s="31">
        <v>34150</v>
      </c>
      <c r="T119" s="31">
        <f t="shared" si="10"/>
        <v>25612.5</v>
      </c>
    </row>
    <row r="120" spans="1:20" ht="31.5">
      <c r="A120" s="10">
        <f t="shared" si="13"/>
        <v>102</v>
      </c>
      <c r="B120" s="94" t="s">
        <v>163</v>
      </c>
      <c r="C120" s="31">
        <v>173.7</v>
      </c>
      <c r="D120" s="69">
        <v>116.80000000000001</v>
      </c>
      <c r="E120" s="34"/>
      <c r="F120" s="34"/>
      <c r="G120" s="34"/>
      <c r="H120" s="31">
        <v>173.7</v>
      </c>
      <c r="I120" s="63">
        <v>5931855.000000001</v>
      </c>
      <c r="J120" s="31">
        <f t="shared" si="8"/>
        <v>34150.00000000001</v>
      </c>
      <c r="K120" s="34"/>
      <c r="L120" s="34"/>
      <c r="M120" s="34"/>
      <c r="N120" s="34"/>
      <c r="O120" s="34"/>
      <c r="P120" s="34"/>
      <c r="Q120" s="70">
        <f t="shared" si="9"/>
        <v>5931855.000000001</v>
      </c>
      <c r="R120" s="63">
        <v>0</v>
      </c>
      <c r="S120" s="31">
        <v>34150</v>
      </c>
      <c r="T120" s="31">
        <f t="shared" si="10"/>
        <v>25612.5</v>
      </c>
    </row>
    <row r="121" spans="1:20" ht="31.5">
      <c r="A121" s="10">
        <f t="shared" si="13"/>
        <v>103</v>
      </c>
      <c r="B121" s="94" t="s">
        <v>164</v>
      </c>
      <c r="C121" s="31">
        <v>271.44</v>
      </c>
      <c r="D121" s="69">
        <v>116.7</v>
      </c>
      <c r="E121" s="34"/>
      <c r="F121" s="34"/>
      <c r="G121" s="34"/>
      <c r="H121" s="31">
        <v>271.44</v>
      </c>
      <c r="I121" s="63">
        <v>9269676</v>
      </c>
      <c r="J121" s="31">
        <f t="shared" si="8"/>
        <v>34150</v>
      </c>
      <c r="K121" s="34"/>
      <c r="L121" s="34"/>
      <c r="M121" s="34"/>
      <c r="N121" s="34"/>
      <c r="O121" s="34"/>
      <c r="P121" s="34"/>
      <c r="Q121" s="70">
        <f t="shared" si="9"/>
        <v>9269676</v>
      </c>
      <c r="R121" s="63">
        <v>0</v>
      </c>
      <c r="S121" s="31">
        <v>34150</v>
      </c>
      <c r="T121" s="31">
        <f t="shared" si="10"/>
        <v>25612.5</v>
      </c>
    </row>
    <row r="122" spans="1:20" ht="31.5">
      <c r="A122" s="10">
        <f t="shared" si="13"/>
        <v>104</v>
      </c>
      <c r="B122" s="94" t="s">
        <v>165</v>
      </c>
      <c r="C122" s="31">
        <v>263.4</v>
      </c>
      <c r="D122" s="69">
        <v>155.79999999999998</v>
      </c>
      <c r="E122" s="34"/>
      <c r="F122" s="34"/>
      <c r="G122" s="34"/>
      <c r="H122" s="31">
        <v>263.4</v>
      </c>
      <c r="I122" s="63">
        <v>8995110</v>
      </c>
      <c r="J122" s="31">
        <f t="shared" si="8"/>
        <v>34150</v>
      </c>
      <c r="K122" s="34"/>
      <c r="L122" s="34"/>
      <c r="M122" s="34"/>
      <c r="N122" s="34"/>
      <c r="O122" s="34"/>
      <c r="P122" s="34"/>
      <c r="Q122" s="70">
        <f t="shared" si="9"/>
        <v>8995110</v>
      </c>
      <c r="R122" s="63">
        <v>0</v>
      </c>
      <c r="S122" s="31">
        <v>34150</v>
      </c>
      <c r="T122" s="31">
        <f t="shared" si="10"/>
        <v>25612.5</v>
      </c>
    </row>
    <row r="123" spans="1:20" ht="47.25">
      <c r="A123" s="10">
        <f t="shared" si="13"/>
        <v>105</v>
      </c>
      <c r="B123" s="94" t="s">
        <v>166</v>
      </c>
      <c r="C123" s="31">
        <v>103.4</v>
      </c>
      <c r="D123" s="69">
        <v>37.2</v>
      </c>
      <c r="E123" s="34"/>
      <c r="F123" s="34"/>
      <c r="G123" s="34"/>
      <c r="H123" s="31">
        <v>103.4</v>
      </c>
      <c r="I123" s="63">
        <v>3531110</v>
      </c>
      <c r="J123" s="31">
        <f t="shared" si="8"/>
        <v>34150</v>
      </c>
      <c r="K123" s="34"/>
      <c r="L123" s="34"/>
      <c r="M123" s="34"/>
      <c r="N123" s="34"/>
      <c r="O123" s="34"/>
      <c r="P123" s="34"/>
      <c r="Q123" s="70">
        <f t="shared" si="9"/>
        <v>3531110</v>
      </c>
      <c r="R123" s="63">
        <v>0</v>
      </c>
      <c r="S123" s="31">
        <v>34150</v>
      </c>
      <c r="T123" s="31">
        <f t="shared" si="10"/>
        <v>25612.5</v>
      </c>
    </row>
    <row r="124" spans="1:20" ht="15.75">
      <c r="A124" s="179" t="s">
        <v>167</v>
      </c>
      <c r="B124" s="179"/>
      <c r="C124" s="77">
        <v>649.1</v>
      </c>
      <c r="D124" s="69">
        <v>75.6</v>
      </c>
      <c r="E124" s="23"/>
      <c r="F124" s="27"/>
      <c r="G124" s="27"/>
      <c r="H124" s="77">
        <v>649.1</v>
      </c>
      <c r="I124" s="78">
        <v>22166765</v>
      </c>
      <c r="J124" s="31">
        <f t="shared" si="8"/>
        <v>34150</v>
      </c>
      <c r="K124" s="22"/>
      <c r="L124" s="22"/>
      <c r="M124" s="22"/>
      <c r="N124" s="22"/>
      <c r="O124" s="22"/>
      <c r="P124" s="27"/>
      <c r="Q124" s="70">
        <f t="shared" si="9"/>
        <v>22166765</v>
      </c>
      <c r="R124" s="24">
        <v>0</v>
      </c>
      <c r="S124" s="31">
        <v>34150</v>
      </c>
      <c r="T124" s="31">
        <f t="shared" si="10"/>
        <v>25612.5</v>
      </c>
    </row>
    <row r="125" spans="1:20" ht="47.25">
      <c r="A125" s="26">
        <v>106</v>
      </c>
      <c r="B125" s="92" t="s">
        <v>158</v>
      </c>
      <c r="C125" s="85">
        <v>81.5</v>
      </c>
      <c r="D125" s="69">
        <v>27.4</v>
      </c>
      <c r="E125" s="85"/>
      <c r="F125" s="110"/>
      <c r="G125" s="110"/>
      <c r="H125" s="85">
        <v>81.5</v>
      </c>
      <c r="I125" s="78">
        <v>2783225</v>
      </c>
      <c r="J125" s="31">
        <f t="shared" si="8"/>
        <v>34150</v>
      </c>
      <c r="K125" s="85"/>
      <c r="L125" s="85"/>
      <c r="M125" s="85"/>
      <c r="N125" s="85"/>
      <c r="O125" s="85"/>
      <c r="P125" s="85"/>
      <c r="Q125" s="70">
        <f t="shared" si="9"/>
        <v>2783225</v>
      </c>
      <c r="R125" s="78">
        <v>0</v>
      </c>
      <c r="S125" s="31">
        <v>34150</v>
      </c>
      <c r="T125" s="31">
        <f t="shared" si="10"/>
        <v>25612.5</v>
      </c>
    </row>
    <row r="126" spans="1:20" ht="47.25">
      <c r="A126" s="26">
        <f>A125+1</f>
        <v>107</v>
      </c>
      <c r="B126" s="92" t="s">
        <v>168</v>
      </c>
      <c r="C126" s="85">
        <v>212.6</v>
      </c>
      <c r="D126" s="69">
        <v>0</v>
      </c>
      <c r="E126" s="85"/>
      <c r="F126" s="110"/>
      <c r="G126" s="110"/>
      <c r="H126" s="85">
        <v>212.6</v>
      </c>
      <c r="I126" s="78">
        <v>7260290</v>
      </c>
      <c r="J126" s="31">
        <f t="shared" si="8"/>
        <v>34150</v>
      </c>
      <c r="K126" s="85"/>
      <c r="L126" s="85"/>
      <c r="M126" s="85"/>
      <c r="N126" s="85"/>
      <c r="O126" s="85"/>
      <c r="P126" s="85"/>
      <c r="Q126" s="70">
        <f t="shared" si="9"/>
        <v>7260290</v>
      </c>
      <c r="R126" s="78">
        <v>0</v>
      </c>
      <c r="S126" s="31">
        <v>34150</v>
      </c>
      <c r="T126" s="31">
        <f t="shared" si="10"/>
        <v>25612.5</v>
      </c>
    </row>
    <row r="127" spans="1:20" ht="47.25">
      <c r="A127" s="26">
        <f>A126+1</f>
        <v>108</v>
      </c>
      <c r="B127" s="92" t="s">
        <v>169</v>
      </c>
      <c r="C127" s="85">
        <v>56.2</v>
      </c>
      <c r="D127" s="69">
        <v>0</v>
      </c>
      <c r="E127" s="85"/>
      <c r="F127" s="110"/>
      <c r="G127" s="110"/>
      <c r="H127" s="85">
        <v>56.2</v>
      </c>
      <c r="I127" s="78">
        <v>1919230</v>
      </c>
      <c r="J127" s="31">
        <f t="shared" si="8"/>
        <v>34150</v>
      </c>
      <c r="K127" s="85"/>
      <c r="L127" s="85"/>
      <c r="M127" s="85"/>
      <c r="N127" s="85"/>
      <c r="O127" s="85"/>
      <c r="P127" s="85"/>
      <c r="Q127" s="70">
        <f t="shared" si="9"/>
        <v>1919230</v>
      </c>
      <c r="R127" s="78">
        <v>0</v>
      </c>
      <c r="S127" s="31">
        <v>34150</v>
      </c>
      <c r="T127" s="31">
        <f t="shared" si="10"/>
        <v>25612.5</v>
      </c>
    </row>
    <row r="128" spans="1:20" ht="47.25">
      <c r="A128" s="26">
        <f>A127+1</f>
        <v>109</v>
      </c>
      <c r="B128" s="92" t="s">
        <v>170</v>
      </c>
      <c r="C128" s="85">
        <v>185</v>
      </c>
      <c r="D128" s="69">
        <v>0</v>
      </c>
      <c r="E128" s="85"/>
      <c r="F128" s="110"/>
      <c r="G128" s="110"/>
      <c r="H128" s="85">
        <v>185</v>
      </c>
      <c r="I128" s="78">
        <v>6317750</v>
      </c>
      <c r="J128" s="31">
        <f t="shared" si="8"/>
        <v>34150</v>
      </c>
      <c r="K128" s="85"/>
      <c r="L128" s="85"/>
      <c r="M128" s="85"/>
      <c r="N128" s="85"/>
      <c r="O128" s="85"/>
      <c r="P128" s="85"/>
      <c r="Q128" s="70">
        <f t="shared" si="9"/>
        <v>6317750</v>
      </c>
      <c r="R128" s="78">
        <v>0</v>
      </c>
      <c r="S128" s="31">
        <v>34150</v>
      </c>
      <c r="T128" s="31">
        <f t="shared" si="10"/>
        <v>25612.5</v>
      </c>
    </row>
    <row r="129" spans="1:20" ht="47.25">
      <c r="A129" s="26">
        <f>A128+1</f>
        <v>110</v>
      </c>
      <c r="B129" s="91" t="s">
        <v>171</v>
      </c>
      <c r="C129" s="85">
        <v>113.8</v>
      </c>
      <c r="D129" s="69">
        <v>48.2</v>
      </c>
      <c r="E129" s="85"/>
      <c r="F129" s="110"/>
      <c r="G129" s="110"/>
      <c r="H129" s="85">
        <v>113.8</v>
      </c>
      <c r="I129" s="78">
        <v>3886270</v>
      </c>
      <c r="J129" s="31">
        <f t="shared" si="8"/>
        <v>34150</v>
      </c>
      <c r="K129" s="85"/>
      <c r="L129" s="85"/>
      <c r="M129" s="85"/>
      <c r="N129" s="85"/>
      <c r="O129" s="85"/>
      <c r="P129" s="85"/>
      <c r="Q129" s="70">
        <f t="shared" si="9"/>
        <v>3886270</v>
      </c>
      <c r="R129" s="78">
        <v>0</v>
      </c>
      <c r="S129" s="31">
        <v>34150</v>
      </c>
      <c r="T129" s="31">
        <f t="shared" si="10"/>
        <v>25612.5</v>
      </c>
    </row>
    <row r="130" spans="1:20" ht="15.75">
      <c r="A130" s="180" t="s">
        <v>172</v>
      </c>
      <c r="B130" s="180"/>
      <c r="C130" s="31">
        <v>1512.1</v>
      </c>
      <c r="D130" s="69">
        <v>579.3</v>
      </c>
      <c r="E130" s="31"/>
      <c r="F130" s="34"/>
      <c r="G130" s="34"/>
      <c r="H130" s="31">
        <v>1512.1</v>
      </c>
      <c r="I130" s="63">
        <v>51638215</v>
      </c>
      <c r="J130" s="31">
        <f t="shared" si="8"/>
        <v>34150</v>
      </c>
      <c r="K130" s="34"/>
      <c r="L130" s="34"/>
      <c r="M130" s="34"/>
      <c r="N130" s="34"/>
      <c r="O130" s="34"/>
      <c r="P130" s="34"/>
      <c r="Q130" s="70">
        <f t="shared" si="9"/>
        <v>51638215</v>
      </c>
      <c r="R130" s="63">
        <v>943564.5</v>
      </c>
      <c r="S130" s="31">
        <v>34150</v>
      </c>
      <c r="T130" s="31">
        <f t="shared" si="10"/>
        <v>25612.5</v>
      </c>
    </row>
    <row r="131" spans="1:20" ht="31.5">
      <c r="A131" s="9">
        <v>111</v>
      </c>
      <c r="B131" s="29" t="s">
        <v>173</v>
      </c>
      <c r="C131" s="31">
        <v>76</v>
      </c>
      <c r="D131" s="69">
        <v>34.6</v>
      </c>
      <c r="E131" s="31"/>
      <c r="F131" s="34"/>
      <c r="G131" s="34"/>
      <c r="H131" s="31">
        <v>76</v>
      </c>
      <c r="I131" s="63">
        <v>2595400</v>
      </c>
      <c r="J131" s="31">
        <f t="shared" si="8"/>
        <v>34150</v>
      </c>
      <c r="K131" s="34"/>
      <c r="L131" s="34"/>
      <c r="M131" s="34"/>
      <c r="N131" s="34"/>
      <c r="O131" s="34"/>
      <c r="P131" s="34"/>
      <c r="Q131" s="70">
        <f t="shared" si="9"/>
        <v>2595400</v>
      </c>
      <c r="R131" s="63">
        <v>146162</v>
      </c>
      <c r="S131" s="31">
        <v>34150</v>
      </c>
      <c r="T131" s="31">
        <f t="shared" si="10"/>
        <v>25612.5</v>
      </c>
    </row>
    <row r="132" spans="1:20" ht="47.25">
      <c r="A132" s="9">
        <f>A131+1</f>
        <v>112</v>
      </c>
      <c r="B132" s="29" t="s">
        <v>175</v>
      </c>
      <c r="C132" s="31">
        <v>189.9</v>
      </c>
      <c r="D132" s="69">
        <v>152.9</v>
      </c>
      <c r="E132" s="31"/>
      <c r="F132" s="34"/>
      <c r="G132" s="34"/>
      <c r="H132" s="31">
        <v>189.9</v>
      </c>
      <c r="I132" s="63">
        <v>6485085</v>
      </c>
      <c r="J132" s="31">
        <f t="shared" si="8"/>
        <v>34150</v>
      </c>
      <c r="K132" s="34"/>
      <c r="L132" s="34"/>
      <c r="M132" s="34"/>
      <c r="N132" s="34"/>
      <c r="O132" s="34"/>
      <c r="P132" s="34"/>
      <c r="Q132" s="70">
        <f t="shared" si="9"/>
        <v>6485085</v>
      </c>
      <c r="R132" s="63">
        <v>257491</v>
      </c>
      <c r="S132" s="31">
        <v>34150</v>
      </c>
      <c r="T132" s="31">
        <f t="shared" si="10"/>
        <v>25612.5</v>
      </c>
    </row>
    <row r="133" spans="1:20" ht="31.5">
      <c r="A133" s="9">
        <f aca="true" t="shared" si="14" ref="A133:A139">A132+1</f>
        <v>113</v>
      </c>
      <c r="B133" s="29" t="s">
        <v>174</v>
      </c>
      <c r="C133" s="31">
        <v>96.3</v>
      </c>
      <c r="D133" s="69">
        <v>47.5</v>
      </c>
      <c r="E133" s="31"/>
      <c r="F133" s="34"/>
      <c r="G133" s="34"/>
      <c r="H133" s="31">
        <v>96.3</v>
      </c>
      <c r="I133" s="63">
        <v>3288645</v>
      </c>
      <c r="J133" s="31">
        <f t="shared" si="8"/>
        <v>34150</v>
      </c>
      <c r="K133" s="34"/>
      <c r="L133" s="34"/>
      <c r="M133" s="34"/>
      <c r="N133" s="34"/>
      <c r="O133" s="34"/>
      <c r="P133" s="34"/>
      <c r="Q133" s="70">
        <f t="shared" si="9"/>
        <v>3288645</v>
      </c>
      <c r="R133" s="63">
        <v>359258</v>
      </c>
      <c r="S133" s="31">
        <v>34150</v>
      </c>
      <c r="T133" s="31">
        <f t="shared" si="10"/>
        <v>25612.5</v>
      </c>
    </row>
    <row r="134" spans="1:20" ht="47.25">
      <c r="A134" s="9">
        <f t="shared" si="14"/>
        <v>114</v>
      </c>
      <c r="B134" s="29" t="s">
        <v>176</v>
      </c>
      <c r="C134" s="31">
        <v>102.3</v>
      </c>
      <c r="D134" s="69">
        <v>0</v>
      </c>
      <c r="E134" s="31"/>
      <c r="F134" s="34"/>
      <c r="G134" s="34"/>
      <c r="H134" s="31">
        <v>102.3</v>
      </c>
      <c r="I134" s="63">
        <v>3493545</v>
      </c>
      <c r="J134" s="31">
        <f t="shared" si="8"/>
        <v>34150</v>
      </c>
      <c r="K134" s="34"/>
      <c r="L134" s="34"/>
      <c r="M134" s="34"/>
      <c r="N134" s="34"/>
      <c r="O134" s="34"/>
      <c r="P134" s="34"/>
      <c r="Q134" s="70">
        <f t="shared" si="9"/>
        <v>3493545</v>
      </c>
      <c r="R134" s="63">
        <v>0</v>
      </c>
      <c r="S134" s="31">
        <v>34150</v>
      </c>
      <c r="T134" s="31">
        <f t="shared" si="10"/>
        <v>25612.5</v>
      </c>
    </row>
    <row r="135" spans="1:20" ht="47.25">
      <c r="A135" s="9">
        <f t="shared" si="14"/>
        <v>115</v>
      </c>
      <c r="B135" s="29" t="s">
        <v>177</v>
      </c>
      <c r="C135" s="31">
        <v>93.1</v>
      </c>
      <c r="D135" s="69">
        <v>0</v>
      </c>
      <c r="E135" s="31"/>
      <c r="F135" s="34"/>
      <c r="G135" s="34"/>
      <c r="H135" s="31">
        <v>93.1</v>
      </c>
      <c r="I135" s="63">
        <v>3179365</v>
      </c>
      <c r="J135" s="31">
        <f t="shared" si="8"/>
        <v>34150</v>
      </c>
      <c r="K135" s="34"/>
      <c r="L135" s="34"/>
      <c r="M135" s="34"/>
      <c r="N135" s="34"/>
      <c r="O135" s="34"/>
      <c r="P135" s="34"/>
      <c r="Q135" s="70">
        <f t="shared" si="9"/>
        <v>3179365</v>
      </c>
      <c r="R135" s="63">
        <v>40980</v>
      </c>
      <c r="S135" s="31">
        <v>34150</v>
      </c>
      <c r="T135" s="31">
        <f t="shared" si="10"/>
        <v>25612.5</v>
      </c>
    </row>
    <row r="136" spans="1:20" ht="47.25">
      <c r="A136" s="9">
        <f t="shared" si="14"/>
        <v>116</v>
      </c>
      <c r="B136" s="29" t="s">
        <v>178</v>
      </c>
      <c r="C136" s="31">
        <v>259.8</v>
      </c>
      <c r="D136" s="69">
        <v>77</v>
      </c>
      <c r="E136" s="31"/>
      <c r="F136" s="34"/>
      <c r="G136" s="34"/>
      <c r="H136" s="31">
        <v>259.8</v>
      </c>
      <c r="I136" s="63">
        <v>8872170</v>
      </c>
      <c r="J136" s="31">
        <f t="shared" si="8"/>
        <v>34150</v>
      </c>
      <c r="K136" s="34"/>
      <c r="L136" s="34"/>
      <c r="M136" s="34"/>
      <c r="N136" s="34"/>
      <c r="O136" s="34"/>
      <c r="P136" s="34"/>
      <c r="Q136" s="70">
        <f t="shared" si="9"/>
        <v>8872170</v>
      </c>
      <c r="R136" s="63">
        <v>0</v>
      </c>
      <c r="S136" s="31">
        <v>34150</v>
      </c>
      <c r="T136" s="31">
        <f t="shared" si="10"/>
        <v>25612.5</v>
      </c>
    </row>
    <row r="137" spans="1:20" ht="47.25">
      <c r="A137" s="9">
        <f t="shared" si="14"/>
        <v>117</v>
      </c>
      <c r="B137" s="29" t="s">
        <v>179</v>
      </c>
      <c r="C137" s="31">
        <v>227.4</v>
      </c>
      <c r="D137" s="69">
        <v>106.9</v>
      </c>
      <c r="E137" s="31"/>
      <c r="F137" s="34"/>
      <c r="G137" s="34"/>
      <c r="H137" s="31">
        <v>227.4</v>
      </c>
      <c r="I137" s="63">
        <v>7765710</v>
      </c>
      <c r="J137" s="31">
        <f aca="true" t="shared" si="15" ref="J137:J200">I137/H137</f>
        <v>34150</v>
      </c>
      <c r="K137" s="32"/>
      <c r="L137" s="34"/>
      <c r="M137" s="34"/>
      <c r="N137" s="34"/>
      <c r="O137" s="34"/>
      <c r="P137" s="32"/>
      <c r="Q137" s="70">
        <f aca="true" t="shared" si="16" ref="Q137:Q200">I137</f>
        <v>7765710</v>
      </c>
      <c r="R137" s="63">
        <v>90839</v>
      </c>
      <c r="S137" s="31">
        <v>34150</v>
      </c>
      <c r="T137" s="31">
        <f t="shared" si="10"/>
        <v>25612.5</v>
      </c>
    </row>
    <row r="138" spans="1:20" ht="47.25">
      <c r="A138" s="9">
        <f t="shared" si="14"/>
        <v>118</v>
      </c>
      <c r="B138" s="29" t="s">
        <v>180</v>
      </c>
      <c r="C138" s="31">
        <v>200.2</v>
      </c>
      <c r="D138" s="69">
        <v>93.9</v>
      </c>
      <c r="E138" s="31"/>
      <c r="F138" s="34"/>
      <c r="G138" s="34"/>
      <c r="H138" s="31">
        <v>200.2</v>
      </c>
      <c r="I138" s="63">
        <v>6836830</v>
      </c>
      <c r="J138" s="31">
        <f t="shared" si="15"/>
        <v>34150</v>
      </c>
      <c r="K138" s="32"/>
      <c r="L138" s="34"/>
      <c r="M138" s="34"/>
      <c r="N138" s="34"/>
      <c r="O138" s="34"/>
      <c r="P138" s="32"/>
      <c r="Q138" s="70">
        <f t="shared" si="16"/>
        <v>6836830</v>
      </c>
      <c r="R138" s="63">
        <v>48834.5</v>
      </c>
      <c r="S138" s="31">
        <v>34150</v>
      </c>
      <c r="T138" s="31">
        <f aca="true" t="shared" si="17" ref="T138:T201">S138/4*3</f>
        <v>25612.5</v>
      </c>
    </row>
    <row r="139" spans="1:20" ht="47.25">
      <c r="A139" s="9">
        <f t="shared" si="14"/>
        <v>119</v>
      </c>
      <c r="B139" s="29" t="s">
        <v>181</v>
      </c>
      <c r="C139" s="31">
        <v>267.1</v>
      </c>
      <c r="D139" s="69">
        <v>66.5</v>
      </c>
      <c r="E139" s="31"/>
      <c r="F139" s="34"/>
      <c r="G139" s="34"/>
      <c r="H139" s="31">
        <v>267.1</v>
      </c>
      <c r="I139" s="63">
        <v>9121465</v>
      </c>
      <c r="J139" s="31">
        <f t="shared" si="15"/>
        <v>34150</v>
      </c>
      <c r="K139" s="32"/>
      <c r="L139" s="34"/>
      <c r="M139" s="34"/>
      <c r="N139" s="34"/>
      <c r="O139" s="34"/>
      <c r="P139" s="32"/>
      <c r="Q139" s="70">
        <f t="shared" si="16"/>
        <v>9121465</v>
      </c>
      <c r="R139" s="63">
        <v>0</v>
      </c>
      <c r="S139" s="31">
        <v>34150</v>
      </c>
      <c r="T139" s="31">
        <f t="shared" si="17"/>
        <v>25612.5</v>
      </c>
    </row>
    <row r="140" spans="1:20" ht="15.75">
      <c r="A140" s="180" t="s">
        <v>182</v>
      </c>
      <c r="B140" s="180"/>
      <c r="C140" s="34">
        <v>293.45</v>
      </c>
      <c r="D140" s="69">
        <v>108.3</v>
      </c>
      <c r="E140" s="34"/>
      <c r="F140" s="34"/>
      <c r="G140" s="34"/>
      <c r="H140" s="34">
        <v>293.45</v>
      </c>
      <c r="I140" s="63">
        <v>10021317.5</v>
      </c>
      <c r="J140" s="31">
        <f t="shared" si="15"/>
        <v>34150</v>
      </c>
      <c r="K140" s="34"/>
      <c r="L140" s="34"/>
      <c r="M140" s="34"/>
      <c r="N140" s="34"/>
      <c r="O140" s="34"/>
      <c r="P140" s="34"/>
      <c r="Q140" s="70">
        <f t="shared" si="16"/>
        <v>10021317.5</v>
      </c>
      <c r="R140" s="63">
        <v>0</v>
      </c>
      <c r="S140" s="31">
        <v>34150</v>
      </c>
      <c r="T140" s="31">
        <f t="shared" si="17"/>
        <v>25612.5</v>
      </c>
    </row>
    <row r="141" spans="1:20" ht="31.5">
      <c r="A141" s="10">
        <v>120</v>
      </c>
      <c r="B141" s="94" t="s">
        <v>183</v>
      </c>
      <c r="C141" s="35">
        <v>107.2</v>
      </c>
      <c r="D141" s="69">
        <v>53.6</v>
      </c>
      <c r="E141" s="34"/>
      <c r="F141" s="34"/>
      <c r="G141" s="34"/>
      <c r="H141" s="35">
        <v>107.2</v>
      </c>
      <c r="I141" s="63">
        <v>3660880</v>
      </c>
      <c r="J141" s="31">
        <f t="shared" si="15"/>
        <v>34150</v>
      </c>
      <c r="K141" s="32"/>
      <c r="L141" s="34"/>
      <c r="M141" s="34"/>
      <c r="N141" s="34"/>
      <c r="O141" s="32"/>
      <c r="P141" s="32"/>
      <c r="Q141" s="70">
        <f t="shared" si="16"/>
        <v>3660880</v>
      </c>
      <c r="R141" s="63">
        <v>0</v>
      </c>
      <c r="S141" s="31">
        <v>34150</v>
      </c>
      <c r="T141" s="31">
        <f t="shared" si="17"/>
        <v>25612.5</v>
      </c>
    </row>
    <row r="142" spans="1:20" ht="31.5">
      <c r="A142" s="10">
        <f>A141+1</f>
        <v>121</v>
      </c>
      <c r="B142" s="94" t="s">
        <v>184</v>
      </c>
      <c r="C142" s="35">
        <v>109.4</v>
      </c>
      <c r="D142" s="69">
        <v>54.7</v>
      </c>
      <c r="E142" s="34"/>
      <c r="F142" s="34"/>
      <c r="G142" s="34"/>
      <c r="H142" s="35">
        <v>109.4</v>
      </c>
      <c r="I142" s="63">
        <v>3736010</v>
      </c>
      <c r="J142" s="31">
        <f t="shared" si="15"/>
        <v>34150</v>
      </c>
      <c r="K142" s="32"/>
      <c r="L142" s="34"/>
      <c r="M142" s="34"/>
      <c r="N142" s="34"/>
      <c r="O142" s="32"/>
      <c r="P142" s="32"/>
      <c r="Q142" s="70">
        <f t="shared" si="16"/>
        <v>3736010</v>
      </c>
      <c r="R142" s="63">
        <v>0</v>
      </c>
      <c r="S142" s="31">
        <v>34150</v>
      </c>
      <c r="T142" s="31">
        <f t="shared" si="17"/>
        <v>25612.5</v>
      </c>
    </row>
    <row r="143" spans="1:20" ht="31.5">
      <c r="A143" s="10">
        <f>A142+1</f>
        <v>122</v>
      </c>
      <c r="B143" s="94" t="s">
        <v>185</v>
      </c>
      <c r="C143" s="35">
        <v>76.85</v>
      </c>
      <c r="D143" s="69">
        <v>0</v>
      </c>
      <c r="E143" s="34"/>
      <c r="F143" s="34"/>
      <c r="G143" s="34"/>
      <c r="H143" s="35">
        <v>76.85</v>
      </c>
      <c r="I143" s="63">
        <v>2624427.5</v>
      </c>
      <c r="J143" s="31">
        <f t="shared" si="15"/>
        <v>34150</v>
      </c>
      <c r="K143" s="32"/>
      <c r="L143" s="34"/>
      <c r="M143" s="34"/>
      <c r="N143" s="34"/>
      <c r="O143" s="32"/>
      <c r="P143" s="32"/>
      <c r="Q143" s="70">
        <f t="shared" si="16"/>
        <v>2624427.5</v>
      </c>
      <c r="R143" s="63">
        <v>0</v>
      </c>
      <c r="S143" s="31">
        <v>34150</v>
      </c>
      <c r="T143" s="31">
        <f t="shared" si="17"/>
        <v>25612.5</v>
      </c>
    </row>
    <row r="144" spans="1:20" ht="15.75">
      <c r="A144" s="179" t="s">
        <v>247</v>
      </c>
      <c r="B144" s="179"/>
      <c r="C144" s="31">
        <v>479.8</v>
      </c>
      <c r="D144" s="69">
        <v>0</v>
      </c>
      <c r="E144" s="34"/>
      <c r="F144" s="34"/>
      <c r="G144" s="34"/>
      <c r="H144" s="31">
        <v>479.8</v>
      </c>
      <c r="I144" s="63">
        <v>16385170</v>
      </c>
      <c r="J144" s="31">
        <f t="shared" si="15"/>
        <v>34150</v>
      </c>
      <c r="K144" s="34"/>
      <c r="L144" s="34"/>
      <c r="M144" s="34"/>
      <c r="N144" s="34"/>
      <c r="O144" s="34"/>
      <c r="P144" s="34"/>
      <c r="Q144" s="70">
        <f t="shared" si="16"/>
        <v>16385170</v>
      </c>
      <c r="R144" s="63">
        <v>0</v>
      </c>
      <c r="S144" s="31">
        <v>34150</v>
      </c>
      <c r="T144" s="31">
        <f t="shared" si="17"/>
        <v>25612.5</v>
      </c>
    </row>
    <row r="145" spans="1:20" ht="47.25">
      <c r="A145" s="10">
        <v>123</v>
      </c>
      <c r="B145" s="94" t="s">
        <v>248</v>
      </c>
      <c r="C145" s="59">
        <v>104.1</v>
      </c>
      <c r="D145" s="69">
        <v>0</v>
      </c>
      <c r="E145" s="34"/>
      <c r="F145" s="34"/>
      <c r="G145" s="34"/>
      <c r="H145" s="59">
        <v>104.1</v>
      </c>
      <c r="I145" s="63">
        <v>3555015</v>
      </c>
      <c r="J145" s="31">
        <f t="shared" si="15"/>
        <v>34150</v>
      </c>
      <c r="K145" s="34"/>
      <c r="L145" s="34"/>
      <c r="M145" s="34"/>
      <c r="N145" s="34"/>
      <c r="O145" s="34"/>
      <c r="P145" s="34"/>
      <c r="Q145" s="70">
        <f t="shared" si="16"/>
        <v>3555015</v>
      </c>
      <c r="R145" s="63">
        <v>0</v>
      </c>
      <c r="S145" s="31">
        <v>34150</v>
      </c>
      <c r="T145" s="31">
        <f t="shared" si="17"/>
        <v>25612.5</v>
      </c>
    </row>
    <row r="146" spans="1:20" ht="31.5">
      <c r="A146" s="10">
        <f>A145+1</f>
        <v>124</v>
      </c>
      <c r="B146" s="94" t="s">
        <v>249</v>
      </c>
      <c r="C146" s="59">
        <v>128.3</v>
      </c>
      <c r="D146" s="69">
        <v>0</v>
      </c>
      <c r="E146" s="34"/>
      <c r="F146" s="34"/>
      <c r="G146" s="34"/>
      <c r="H146" s="59">
        <v>128.3</v>
      </c>
      <c r="I146" s="63">
        <v>4381445</v>
      </c>
      <c r="J146" s="31">
        <f t="shared" si="15"/>
        <v>34150</v>
      </c>
      <c r="K146" s="34"/>
      <c r="L146" s="34"/>
      <c r="M146" s="34"/>
      <c r="N146" s="34"/>
      <c r="O146" s="34"/>
      <c r="P146" s="34"/>
      <c r="Q146" s="70">
        <f t="shared" si="16"/>
        <v>4381445</v>
      </c>
      <c r="R146" s="63">
        <v>0</v>
      </c>
      <c r="S146" s="31">
        <v>34150</v>
      </c>
      <c r="T146" s="31">
        <f t="shared" si="17"/>
        <v>25612.5</v>
      </c>
    </row>
    <row r="147" spans="1:20" ht="31.5">
      <c r="A147" s="10">
        <f>A146+1</f>
        <v>125</v>
      </c>
      <c r="B147" s="94" t="s">
        <v>250</v>
      </c>
      <c r="C147" s="59">
        <v>142</v>
      </c>
      <c r="D147" s="69">
        <v>0</v>
      </c>
      <c r="E147" s="34"/>
      <c r="F147" s="34"/>
      <c r="G147" s="34"/>
      <c r="H147" s="59">
        <v>142</v>
      </c>
      <c r="I147" s="63">
        <v>4849300</v>
      </c>
      <c r="J147" s="31">
        <f t="shared" si="15"/>
        <v>34150</v>
      </c>
      <c r="K147" s="34"/>
      <c r="L147" s="34"/>
      <c r="M147" s="34"/>
      <c r="N147" s="34"/>
      <c r="O147" s="34"/>
      <c r="P147" s="34"/>
      <c r="Q147" s="70">
        <f t="shared" si="16"/>
        <v>4849300</v>
      </c>
      <c r="R147" s="63">
        <v>0</v>
      </c>
      <c r="S147" s="31">
        <v>34150</v>
      </c>
      <c r="T147" s="31">
        <f t="shared" si="17"/>
        <v>25612.5</v>
      </c>
    </row>
    <row r="148" spans="1:20" ht="31.5">
      <c r="A148" s="10">
        <f>A147+1</f>
        <v>126</v>
      </c>
      <c r="B148" s="94" t="s">
        <v>251</v>
      </c>
      <c r="C148" s="59">
        <v>105.4</v>
      </c>
      <c r="D148" s="69">
        <v>0</v>
      </c>
      <c r="E148" s="34"/>
      <c r="F148" s="34"/>
      <c r="G148" s="34"/>
      <c r="H148" s="59">
        <v>105.4</v>
      </c>
      <c r="I148" s="63">
        <v>3599410</v>
      </c>
      <c r="J148" s="31">
        <f t="shared" si="15"/>
        <v>34150</v>
      </c>
      <c r="K148" s="34"/>
      <c r="L148" s="34"/>
      <c r="M148" s="34"/>
      <c r="N148" s="34"/>
      <c r="O148" s="34"/>
      <c r="P148" s="34"/>
      <c r="Q148" s="70">
        <f t="shared" si="16"/>
        <v>3599410</v>
      </c>
      <c r="R148" s="63">
        <v>0</v>
      </c>
      <c r="S148" s="31">
        <v>34150</v>
      </c>
      <c r="T148" s="31">
        <f t="shared" si="17"/>
        <v>25612.5</v>
      </c>
    </row>
    <row r="149" spans="1:20" ht="15.75">
      <c r="A149" s="180" t="s">
        <v>189</v>
      </c>
      <c r="B149" s="180"/>
      <c r="C149" s="31">
        <v>665.5</v>
      </c>
      <c r="D149" s="69">
        <v>82.6</v>
      </c>
      <c r="E149" s="34"/>
      <c r="F149" s="34"/>
      <c r="G149" s="34"/>
      <c r="H149" s="31">
        <v>665.5</v>
      </c>
      <c r="I149" s="63">
        <v>22726825</v>
      </c>
      <c r="J149" s="31">
        <f t="shared" si="15"/>
        <v>34150</v>
      </c>
      <c r="K149" s="34"/>
      <c r="L149" s="34"/>
      <c r="M149" s="34"/>
      <c r="N149" s="34"/>
      <c r="O149" s="34"/>
      <c r="P149" s="34"/>
      <c r="Q149" s="70">
        <f t="shared" si="16"/>
        <v>22726825</v>
      </c>
      <c r="R149" s="63">
        <v>40980</v>
      </c>
      <c r="S149" s="31">
        <v>34150</v>
      </c>
      <c r="T149" s="31">
        <f t="shared" si="17"/>
        <v>25612.5</v>
      </c>
    </row>
    <row r="150" spans="1:20" ht="47.25">
      <c r="A150" s="10">
        <v>127</v>
      </c>
      <c r="B150" s="94" t="s">
        <v>190</v>
      </c>
      <c r="C150" s="31">
        <v>201.4</v>
      </c>
      <c r="D150" s="69">
        <v>66.2</v>
      </c>
      <c r="E150" s="34"/>
      <c r="F150" s="34"/>
      <c r="G150" s="34"/>
      <c r="H150" s="31">
        <v>201.4</v>
      </c>
      <c r="I150" s="63">
        <v>6877810</v>
      </c>
      <c r="J150" s="31">
        <f t="shared" si="15"/>
        <v>34150</v>
      </c>
      <c r="K150" s="34"/>
      <c r="L150" s="34"/>
      <c r="M150" s="34"/>
      <c r="N150" s="34"/>
      <c r="O150" s="34"/>
      <c r="P150" s="34"/>
      <c r="Q150" s="70">
        <f t="shared" si="16"/>
        <v>6877810</v>
      </c>
      <c r="R150" s="63">
        <v>40980</v>
      </c>
      <c r="S150" s="31">
        <v>34150</v>
      </c>
      <c r="T150" s="31">
        <f t="shared" si="17"/>
        <v>25612.5</v>
      </c>
    </row>
    <row r="151" spans="1:20" ht="47.25">
      <c r="A151" s="10">
        <f>A150+1</f>
        <v>128</v>
      </c>
      <c r="B151" s="94" t="s">
        <v>191</v>
      </c>
      <c r="C151" s="31">
        <v>135.8</v>
      </c>
      <c r="D151" s="69">
        <v>0</v>
      </c>
      <c r="E151" s="34"/>
      <c r="F151" s="34"/>
      <c r="G151" s="34"/>
      <c r="H151" s="31">
        <v>135.8</v>
      </c>
      <c r="I151" s="63">
        <v>4637570</v>
      </c>
      <c r="J151" s="31">
        <f t="shared" si="15"/>
        <v>34150</v>
      </c>
      <c r="K151" s="34"/>
      <c r="L151" s="34"/>
      <c r="M151" s="34"/>
      <c r="N151" s="34"/>
      <c r="O151" s="34"/>
      <c r="P151" s="34"/>
      <c r="Q151" s="70">
        <f t="shared" si="16"/>
        <v>4637570</v>
      </c>
      <c r="R151" s="63">
        <v>0</v>
      </c>
      <c r="S151" s="31">
        <v>34150</v>
      </c>
      <c r="T151" s="31">
        <f t="shared" si="17"/>
        <v>25612.5</v>
      </c>
    </row>
    <row r="152" spans="1:20" ht="47.25">
      <c r="A152" s="10">
        <f>A151+1</f>
        <v>129</v>
      </c>
      <c r="B152" s="94" t="s">
        <v>192</v>
      </c>
      <c r="C152" s="31">
        <v>106.6</v>
      </c>
      <c r="D152" s="69">
        <v>0</v>
      </c>
      <c r="E152" s="34"/>
      <c r="F152" s="34"/>
      <c r="G152" s="34"/>
      <c r="H152" s="31">
        <v>106.6</v>
      </c>
      <c r="I152" s="63">
        <v>3640390</v>
      </c>
      <c r="J152" s="31">
        <f t="shared" si="15"/>
        <v>34150</v>
      </c>
      <c r="K152" s="34"/>
      <c r="L152" s="34"/>
      <c r="M152" s="34"/>
      <c r="N152" s="34"/>
      <c r="O152" s="34"/>
      <c r="P152" s="34"/>
      <c r="Q152" s="70">
        <f t="shared" si="16"/>
        <v>3640390</v>
      </c>
      <c r="R152" s="63">
        <v>0</v>
      </c>
      <c r="S152" s="31">
        <v>34150</v>
      </c>
      <c r="T152" s="31">
        <f t="shared" si="17"/>
        <v>25612.5</v>
      </c>
    </row>
    <row r="153" spans="1:20" ht="63">
      <c r="A153" s="10">
        <f>A152+1</f>
        <v>130</v>
      </c>
      <c r="B153" s="94" t="s">
        <v>193</v>
      </c>
      <c r="C153" s="31">
        <v>83</v>
      </c>
      <c r="D153" s="69">
        <v>16.4</v>
      </c>
      <c r="E153" s="34"/>
      <c r="F153" s="34"/>
      <c r="G153" s="34"/>
      <c r="H153" s="31">
        <v>83</v>
      </c>
      <c r="I153" s="63">
        <v>2834450</v>
      </c>
      <c r="J153" s="31">
        <f t="shared" si="15"/>
        <v>34150</v>
      </c>
      <c r="K153" s="34"/>
      <c r="L153" s="34"/>
      <c r="M153" s="34"/>
      <c r="N153" s="34"/>
      <c r="O153" s="34"/>
      <c r="P153" s="34"/>
      <c r="Q153" s="70">
        <f t="shared" si="16"/>
        <v>2834450</v>
      </c>
      <c r="R153" s="63">
        <v>0</v>
      </c>
      <c r="S153" s="31">
        <v>34150</v>
      </c>
      <c r="T153" s="31">
        <f t="shared" si="17"/>
        <v>25612.5</v>
      </c>
    </row>
    <row r="154" spans="1:20" ht="47.25">
      <c r="A154" s="10">
        <f>A153+1</f>
        <v>131</v>
      </c>
      <c r="B154" s="94" t="s">
        <v>194</v>
      </c>
      <c r="C154" s="31">
        <v>138.7</v>
      </c>
      <c r="D154" s="69">
        <v>0</v>
      </c>
      <c r="E154" s="34"/>
      <c r="F154" s="34"/>
      <c r="G154" s="34"/>
      <c r="H154" s="31">
        <v>138.7</v>
      </c>
      <c r="I154" s="63">
        <v>4736605</v>
      </c>
      <c r="J154" s="31">
        <f t="shared" si="15"/>
        <v>34150</v>
      </c>
      <c r="K154" s="34"/>
      <c r="L154" s="34"/>
      <c r="M154" s="34"/>
      <c r="N154" s="34"/>
      <c r="O154" s="34"/>
      <c r="P154" s="34"/>
      <c r="Q154" s="70">
        <f t="shared" si="16"/>
        <v>4736605</v>
      </c>
      <c r="R154" s="63">
        <v>0</v>
      </c>
      <c r="S154" s="31">
        <v>34150</v>
      </c>
      <c r="T154" s="31">
        <f t="shared" si="17"/>
        <v>25612.5</v>
      </c>
    </row>
    <row r="155" spans="1:20" ht="15.75">
      <c r="A155" s="179" t="s">
        <v>195</v>
      </c>
      <c r="B155" s="179"/>
      <c r="C155" s="34">
        <v>438.9</v>
      </c>
      <c r="D155" s="69">
        <v>292.1</v>
      </c>
      <c r="E155" s="52"/>
      <c r="F155" s="52"/>
      <c r="G155" s="53"/>
      <c r="H155" s="34">
        <v>438.9</v>
      </c>
      <c r="I155" s="63">
        <v>14988435</v>
      </c>
      <c r="J155" s="31">
        <f t="shared" si="15"/>
        <v>34150</v>
      </c>
      <c r="K155" s="52"/>
      <c r="L155" s="52"/>
      <c r="M155" s="53"/>
      <c r="N155" s="52"/>
      <c r="O155" s="52"/>
      <c r="P155" s="53"/>
      <c r="Q155" s="70">
        <f t="shared" si="16"/>
        <v>14988435</v>
      </c>
      <c r="R155" s="66">
        <v>0</v>
      </c>
      <c r="S155" s="31">
        <v>34150</v>
      </c>
      <c r="T155" s="31">
        <f t="shared" si="17"/>
        <v>25612.5</v>
      </c>
    </row>
    <row r="156" spans="1:20" ht="47.25">
      <c r="A156" s="9">
        <v>132</v>
      </c>
      <c r="B156" s="29" t="s">
        <v>196</v>
      </c>
      <c r="C156" s="31">
        <v>101.5</v>
      </c>
      <c r="D156" s="69">
        <v>0</v>
      </c>
      <c r="E156" s="31"/>
      <c r="F156" s="31"/>
      <c r="G156" s="34"/>
      <c r="H156" s="31">
        <v>101.5</v>
      </c>
      <c r="I156" s="63">
        <v>3466225</v>
      </c>
      <c r="J156" s="31">
        <f t="shared" si="15"/>
        <v>34150</v>
      </c>
      <c r="K156" s="31"/>
      <c r="L156" s="31"/>
      <c r="M156" s="34"/>
      <c r="N156" s="31"/>
      <c r="O156" s="31"/>
      <c r="P156" s="34"/>
      <c r="Q156" s="70">
        <f t="shared" si="16"/>
        <v>3466225</v>
      </c>
      <c r="R156" s="63">
        <v>0</v>
      </c>
      <c r="S156" s="31">
        <v>34150</v>
      </c>
      <c r="T156" s="31">
        <f t="shared" si="17"/>
        <v>25612.5</v>
      </c>
    </row>
    <row r="157" spans="1:20" ht="47.25">
      <c r="A157" s="9">
        <f>A156+1</f>
        <v>133</v>
      </c>
      <c r="B157" s="29" t="s">
        <v>197</v>
      </c>
      <c r="C157" s="31">
        <v>125</v>
      </c>
      <c r="D157" s="69">
        <v>79.7</v>
      </c>
      <c r="E157" s="31"/>
      <c r="F157" s="31"/>
      <c r="G157" s="34"/>
      <c r="H157" s="31">
        <v>125</v>
      </c>
      <c r="I157" s="63">
        <v>4268750</v>
      </c>
      <c r="J157" s="31">
        <f t="shared" si="15"/>
        <v>34150</v>
      </c>
      <c r="K157" s="31"/>
      <c r="L157" s="31"/>
      <c r="M157" s="34"/>
      <c r="N157" s="31"/>
      <c r="O157" s="31"/>
      <c r="P157" s="34"/>
      <c r="Q157" s="70">
        <f t="shared" si="16"/>
        <v>4268750</v>
      </c>
      <c r="R157" s="63">
        <v>0</v>
      </c>
      <c r="S157" s="31">
        <v>34150</v>
      </c>
      <c r="T157" s="31">
        <f t="shared" si="17"/>
        <v>25612.5</v>
      </c>
    </row>
    <row r="158" spans="1:20" ht="47.25">
      <c r="A158" s="9">
        <f>A157+1</f>
        <v>134</v>
      </c>
      <c r="B158" s="29" t="s">
        <v>198</v>
      </c>
      <c r="C158" s="31">
        <v>106</v>
      </c>
      <c r="D158" s="69">
        <v>106</v>
      </c>
      <c r="E158" s="31"/>
      <c r="F158" s="31"/>
      <c r="G158" s="34"/>
      <c r="H158" s="31">
        <v>106</v>
      </c>
      <c r="I158" s="63">
        <v>3619900</v>
      </c>
      <c r="J158" s="31">
        <f t="shared" si="15"/>
        <v>34150</v>
      </c>
      <c r="K158" s="31"/>
      <c r="L158" s="31"/>
      <c r="M158" s="34"/>
      <c r="N158" s="31"/>
      <c r="O158" s="31"/>
      <c r="P158" s="34"/>
      <c r="Q158" s="70">
        <f t="shared" si="16"/>
        <v>3619900</v>
      </c>
      <c r="R158" s="63">
        <v>0</v>
      </c>
      <c r="S158" s="31">
        <v>34150</v>
      </c>
      <c r="T158" s="31">
        <f t="shared" si="17"/>
        <v>25612.5</v>
      </c>
    </row>
    <row r="159" spans="1:20" ht="47.25">
      <c r="A159" s="9">
        <f>A158+1</f>
        <v>135</v>
      </c>
      <c r="B159" s="29" t="s">
        <v>199</v>
      </c>
      <c r="C159" s="31">
        <v>106.4</v>
      </c>
      <c r="D159" s="69">
        <v>106.4</v>
      </c>
      <c r="E159" s="31"/>
      <c r="F159" s="31"/>
      <c r="G159" s="34"/>
      <c r="H159" s="31">
        <v>106.4</v>
      </c>
      <c r="I159" s="63">
        <v>3633560</v>
      </c>
      <c r="J159" s="31">
        <f t="shared" si="15"/>
        <v>34150</v>
      </c>
      <c r="K159" s="31"/>
      <c r="L159" s="31"/>
      <c r="M159" s="34"/>
      <c r="N159" s="31"/>
      <c r="O159" s="31"/>
      <c r="P159" s="34"/>
      <c r="Q159" s="70">
        <f t="shared" si="16"/>
        <v>3633560</v>
      </c>
      <c r="R159" s="63">
        <v>0</v>
      </c>
      <c r="S159" s="31">
        <v>34150</v>
      </c>
      <c r="T159" s="31">
        <f t="shared" si="17"/>
        <v>25612.5</v>
      </c>
    </row>
    <row r="160" spans="1:20" ht="15.75">
      <c r="A160" s="179" t="s">
        <v>200</v>
      </c>
      <c r="B160" s="179"/>
      <c r="C160" s="31">
        <v>766.19</v>
      </c>
      <c r="D160" s="69">
        <v>582.09</v>
      </c>
      <c r="E160" s="31"/>
      <c r="F160" s="31"/>
      <c r="G160" s="34"/>
      <c r="H160" s="31">
        <v>766.19</v>
      </c>
      <c r="I160" s="63">
        <v>26165388.5</v>
      </c>
      <c r="J160" s="31">
        <f t="shared" si="15"/>
        <v>34150</v>
      </c>
      <c r="K160" s="31"/>
      <c r="L160" s="31"/>
      <c r="M160" s="34"/>
      <c r="N160" s="31"/>
      <c r="O160" s="31"/>
      <c r="P160" s="34"/>
      <c r="Q160" s="70">
        <f t="shared" si="16"/>
        <v>26165388.5</v>
      </c>
      <c r="R160" s="63">
        <v>0</v>
      </c>
      <c r="S160" s="31">
        <v>34150</v>
      </c>
      <c r="T160" s="31">
        <f t="shared" si="17"/>
        <v>25612.5</v>
      </c>
    </row>
    <row r="161" spans="1:20" ht="47.25">
      <c r="A161" s="10">
        <v>136</v>
      </c>
      <c r="B161" s="57" t="s">
        <v>201</v>
      </c>
      <c r="C161" s="31">
        <v>52.9</v>
      </c>
      <c r="D161" s="69">
        <v>26.1</v>
      </c>
      <c r="E161" s="31"/>
      <c r="F161" s="31"/>
      <c r="G161" s="34"/>
      <c r="H161" s="31">
        <v>52.9</v>
      </c>
      <c r="I161" s="65">
        <v>1806535</v>
      </c>
      <c r="J161" s="31">
        <f t="shared" si="15"/>
        <v>34150</v>
      </c>
      <c r="K161" s="31"/>
      <c r="L161" s="31"/>
      <c r="M161" s="34"/>
      <c r="N161" s="31"/>
      <c r="O161" s="31"/>
      <c r="P161" s="34"/>
      <c r="Q161" s="70">
        <f t="shared" si="16"/>
        <v>1806535</v>
      </c>
      <c r="R161" s="63">
        <v>0</v>
      </c>
      <c r="S161" s="31">
        <v>34150</v>
      </c>
      <c r="T161" s="31">
        <f t="shared" si="17"/>
        <v>25612.5</v>
      </c>
    </row>
    <row r="162" spans="1:20" ht="47.25">
      <c r="A162" s="10">
        <f aca="true" t="shared" si="18" ref="A162:A167">A161+1</f>
        <v>137</v>
      </c>
      <c r="B162" s="57" t="s">
        <v>210</v>
      </c>
      <c r="C162" s="31">
        <v>92.42</v>
      </c>
      <c r="D162" s="69">
        <v>47.82</v>
      </c>
      <c r="E162" s="31"/>
      <c r="F162" s="31"/>
      <c r="G162" s="34"/>
      <c r="H162" s="31">
        <v>92.42</v>
      </c>
      <c r="I162" s="65">
        <v>3156143</v>
      </c>
      <c r="J162" s="31">
        <f t="shared" si="15"/>
        <v>34150</v>
      </c>
      <c r="K162" s="31"/>
      <c r="L162" s="31"/>
      <c r="M162" s="34"/>
      <c r="N162" s="31"/>
      <c r="O162" s="31"/>
      <c r="P162" s="34"/>
      <c r="Q162" s="70">
        <f t="shared" si="16"/>
        <v>3156143</v>
      </c>
      <c r="R162" s="63">
        <v>0</v>
      </c>
      <c r="S162" s="31">
        <v>34150</v>
      </c>
      <c r="T162" s="31">
        <f t="shared" si="17"/>
        <v>25612.5</v>
      </c>
    </row>
    <row r="163" spans="1:20" ht="47.25">
      <c r="A163" s="10">
        <f t="shared" si="18"/>
        <v>138</v>
      </c>
      <c r="B163" s="57" t="s">
        <v>211</v>
      </c>
      <c r="C163" s="31">
        <v>169.5</v>
      </c>
      <c r="D163" s="69">
        <v>121.5</v>
      </c>
      <c r="E163" s="53"/>
      <c r="F163" s="53"/>
      <c r="G163" s="53"/>
      <c r="H163" s="31">
        <v>169.5</v>
      </c>
      <c r="I163" s="65">
        <v>5788425</v>
      </c>
      <c r="J163" s="31">
        <f t="shared" si="15"/>
        <v>34150</v>
      </c>
      <c r="K163" s="53"/>
      <c r="L163" s="53"/>
      <c r="M163" s="53"/>
      <c r="N163" s="53"/>
      <c r="O163" s="53"/>
      <c r="P163" s="53"/>
      <c r="Q163" s="70">
        <f t="shared" si="16"/>
        <v>5788425</v>
      </c>
      <c r="R163" s="66">
        <v>0</v>
      </c>
      <c r="S163" s="31">
        <v>34150</v>
      </c>
      <c r="T163" s="31">
        <f t="shared" si="17"/>
        <v>25612.5</v>
      </c>
    </row>
    <row r="164" spans="1:20" ht="47.25">
      <c r="A164" s="10">
        <f t="shared" si="18"/>
        <v>139</v>
      </c>
      <c r="B164" s="57" t="s">
        <v>212</v>
      </c>
      <c r="C164" s="31">
        <v>90.7</v>
      </c>
      <c r="D164" s="69">
        <v>90.7</v>
      </c>
      <c r="E164" s="34"/>
      <c r="F164" s="34"/>
      <c r="G164" s="34"/>
      <c r="H164" s="31">
        <v>90.7</v>
      </c>
      <c r="I164" s="65">
        <v>3097405</v>
      </c>
      <c r="J164" s="31">
        <f t="shared" si="15"/>
        <v>34150</v>
      </c>
      <c r="K164" s="32"/>
      <c r="L164" s="34"/>
      <c r="M164" s="34"/>
      <c r="N164" s="34"/>
      <c r="O164" s="32"/>
      <c r="P164" s="32"/>
      <c r="Q164" s="70">
        <f t="shared" si="16"/>
        <v>3097405</v>
      </c>
      <c r="R164" s="63">
        <v>0</v>
      </c>
      <c r="S164" s="31">
        <v>34150</v>
      </c>
      <c r="T164" s="31">
        <f t="shared" si="17"/>
        <v>25612.5</v>
      </c>
    </row>
    <row r="165" spans="1:20" ht="47.25">
      <c r="A165" s="10">
        <f t="shared" si="18"/>
        <v>140</v>
      </c>
      <c r="B165" s="16" t="s">
        <v>213</v>
      </c>
      <c r="C165" s="31">
        <v>83</v>
      </c>
      <c r="D165" s="69">
        <v>63</v>
      </c>
      <c r="E165" s="34"/>
      <c r="F165" s="34"/>
      <c r="G165" s="34"/>
      <c r="H165" s="31">
        <v>83</v>
      </c>
      <c r="I165" s="65">
        <v>2834450</v>
      </c>
      <c r="J165" s="31">
        <f t="shared" si="15"/>
        <v>34150</v>
      </c>
      <c r="K165" s="32"/>
      <c r="L165" s="34"/>
      <c r="M165" s="34"/>
      <c r="N165" s="34"/>
      <c r="O165" s="32"/>
      <c r="P165" s="32"/>
      <c r="Q165" s="70">
        <f t="shared" si="16"/>
        <v>2834450</v>
      </c>
      <c r="R165" s="63">
        <v>0</v>
      </c>
      <c r="S165" s="31">
        <v>34150</v>
      </c>
      <c r="T165" s="31">
        <f t="shared" si="17"/>
        <v>25612.5</v>
      </c>
    </row>
    <row r="166" spans="1:20" ht="47.25">
      <c r="A166" s="10">
        <f t="shared" si="18"/>
        <v>141</v>
      </c>
      <c r="B166" s="57" t="s">
        <v>214</v>
      </c>
      <c r="C166" s="31">
        <v>74.3</v>
      </c>
      <c r="D166" s="69">
        <v>42.9</v>
      </c>
      <c r="E166" s="34"/>
      <c r="F166" s="34"/>
      <c r="G166" s="34"/>
      <c r="H166" s="31">
        <v>74.3</v>
      </c>
      <c r="I166" s="65">
        <v>2537345</v>
      </c>
      <c r="J166" s="31">
        <f t="shared" si="15"/>
        <v>34150</v>
      </c>
      <c r="K166" s="32"/>
      <c r="L166" s="34"/>
      <c r="M166" s="34"/>
      <c r="N166" s="34"/>
      <c r="O166" s="32"/>
      <c r="P166" s="32"/>
      <c r="Q166" s="70">
        <f t="shared" si="16"/>
        <v>2537345</v>
      </c>
      <c r="R166" s="63">
        <v>0</v>
      </c>
      <c r="S166" s="31">
        <v>34150</v>
      </c>
      <c r="T166" s="31">
        <f t="shared" si="17"/>
        <v>25612.5</v>
      </c>
    </row>
    <row r="167" spans="1:20" ht="47.25">
      <c r="A167" s="10">
        <f t="shared" si="18"/>
        <v>142</v>
      </c>
      <c r="B167" s="57" t="s">
        <v>215</v>
      </c>
      <c r="C167" s="31">
        <v>203.37</v>
      </c>
      <c r="D167" s="69">
        <v>190.07</v>
      </c>
      <c r="E167" s="34"/>
      <c r="F167" s="34"/>
      <c r="G167" s="34"/>
      <c r="H167" s="31">
        <v>203.37</v>
      </c>
      <c r="I167" s="65">
        <v>6945085.5</v>
      </c>
      <c r="J167" s="31">
        <f t="shared" si="15"/>
        <v>34150</v>
      </c>
      <c r="K167" s="32"/>
      <c r="L167" s="34"/>
      <c r="M167" s="34"/>
      <c r="N167" s="34"/>
      <c r="O167" s="32"/>
      <c r="P167" s="32"/>
      <c r="Q167" s="70">
        <f t="shared" si="16"/>
        <v>6945085.5</v>
      </c>
      <c r="R167" s="63">
        <v>0</v>
      </c>
      <c r="S167" s="31">
        <v>34150</v>
      </c>
      <c r="T167" s="31">
        <f t="shared" si="17"/>
        <v>25612.5</v>
      </c>
    </row>
    <row r="168" spans="1:20" ht="15.75">
      <c r="A168" s="179" t="s">
        <v>216</v>
      </c>
      <c r="B168" s="179"/>
      <c r="C168" s="31">
        <v>1819.41</v>
      </c>
      <c r="D168" s="69">
        <v>1010.57</v>
      </c>
      <c r="E168" s="34"/>
      <c r="F168" s="34"/>
      <c r="G168" s="34"/>
      <c r="H168" s="31">
        <v>1819.41</v>
      </c>
      <c r="I168" s="63">
        <v>62132851.5</v>
      </c>
      <c r="J168" s="31">
        <f t="shared" si="15"/>
        <v>34150</v>
      </c>
      <c r="K168" s="32"/>
      <c r="L168" s="34"/>
      <c r="M168" s="34"/>
      <c r="N168" s="34"/>
      <c r="O168" s="32"/>
      <c r="P168" s="32"/>
      <c r="Q168" s="70">
        <f t="shared" si="16"/>
        <v>62132851.5</v>
      </c>
      <c r="R168" s="63">
        <v>1499527</v>
      </c>
      <c r="S168" s="31">
        <v>34150</v>
      </c>
      <c r="T168" s="31">
        <f t="shared" si="17"/>
        <v>25612.5</v>
      </c>
    </row>
    <row r="169" spans="1:20" ht="63">
      <c r="A169" s="10">
        <v>143</v>
      </c>
      <c r="B169" s="94" t="s">
        <v>217</v>
      </c>
      <c r="C169" s="35">
        <v>105.12</v>
      </c>
      <c r="D169" s="69">
        <v>69.32</v>
      </c>
      <c r="E169" s="34"/>
      <c r="F169" s="34"/>
      <c r="G169" s="34"/>
      <c r="H169" s="35">
        <v>105.12</v>
      </c>
      <c r="I169" s="64">
        <v>3589848</v>
      </c>
      <c r="J169" s="31">
        <f t="shared" si="15"/>
        <v>34150</v>
      </c>
      <c r="K169" s="32"/>
      <c r="L169" s="34"/>
      <c r="M169" s="34"/>
      <c r="N169" s="34"/>
      <c r="O169" s="32"/>
      <c r="P169" s="32"/>
      <c r="Q169" s="70">
        <f t="shared" si="16"/>
        <v>3589848</v>
      </c>
      <c r="R169" s="63">
        <v>0</v>
      </c>
      <c r="S169" s="31">
        <v>34150</v>
      </c>
      <c r="T169" s="31">
        <f t="shared" si="17"/>
        <v>25612.5</v>
      </c>
    </row>
    <row r="170" spans="1:20" ht="47.25">
      <c r="A170" s="10">
        <f>A169+1</f>
        <v>144</v>
      </c>
      <c r="B170" s="94" t="s">
        <v>218</v>
      </c>
      <c r="C170" s="35">
        <v>66.71</v>
      </c>
      <c r="D170" s="69">
        <v>34.55</v>
      </c>
      <c r="E170" s="34"/>
      <c r="F170" s="34"/>
      <c r="G170" s="34"/>
      <c r="H170" s="35">
        <v>66.71</v>
      </c>
      <c r="I170" s="64">
        <v>2278146.5</v>
      </c>
      <c r="J170" s="31">
        <f t="shared" si="15"/>
        <v>34150</v>
      </c>
      <c r="K170" s="32"/>
      <c r="L170" s="34"/>
      <c r="M170" s="34"/>
      <c r="N170" s="34"/>
      <c r="O170" s="32"/>
      <c r="P170" s="32"/>
      <c r="Q170" s="70">
        <f t="shared" si="16"/>
        <v>2278146.5</v>
      </c>
      <c r="R170" s="63">
        <v>23564</v>
      </c>
      <c r="S170" s="31">
        <v>34150</v>
      </c>
      <c r="T170" s="31">
        <f t="shared" si="17"/>
        <v>25612.5</v>
      </c>
    </row>
    <row r="171" spans="1:20" ht="47.25">
      <c r="A171" s="10">
        <f aca="true" t="shared" si="19" ref="A171:A180">A170+1</f>
        <v>145</v>
      </c>
      <c r="B171" s="94" t="s">
        <v>219</v>
      </c>
      <c r="C171" s="35">
        <v>81.9</v>
      </c>
      <c r="D171" s="69">
        <v>81.9</v>
      </c>
      <c r="E171" s="34"/>
      <c r="F171" s="34"/>
      <c r="G171" s="34"/>
      <c r="H171" s="35">
        <v>81.9</v>
      </c>
      <c r="I171" s="64">
        <v>2796885</v>
      </c>
      <c r="J171" s="31">
        <f t="shared" si="15"/>
        <v>34150</v>
      </c>
      <c r="K171" s="32"/>
      <c r="L171" s="34"/>
      <c r="M171" s="34"/>
      <c r="N171" s="34"/>
      <c r="O171" s="32"/>
      <c r="P171" s="32"/>
      <c r="Q171" s="70">
        <f t="shared" si="16"/>
        <v>2796885</v>
      </c>
      <c r="R171" s="63">
        <v>163920</v>
      </c>
      <c r="S171" s="31">
        <v>34150</v>
      </c>
      <c r="T171" s="31">
        <f t="shared" si="17"/>
        <v>25612.5</v>
      </c>
    </row>
    <row r="172" spans="1:20" ht="47.25">
      <c r="A172" s="10">
        <f t="shared" si="19"/>
        <v>146</v>
      </c>
      <c r="B172" s="94" t="s">
        <v>220</v>
      </c>
      <c r="C172" s="35">
        <v>97.45</v>
      </c>
      <c r="D172" s="69"/>
      <c r="E172" s="34"/>
      <c r="F172" s="34"/>
      <c r="G172" s="34"/>
      <c r="H172" s="35">
        <v>97.45</v>
      </c>
      <c r="I172" s="64">
        <v>3327917.5</v>
      </c>
      <c r="J172" s="31">
        <f t="shared" si="15"/>
        <v>34150</v>
      </c>
      <c r="K172" s="32"/>
      <c r="L172" s="34"/>
      <c r="M172" s="34"/>
      <c r="N172" s="34"/>
      <c r="O172" s="32"/>
      <c r="P172" s="32"/>
      <c r="Q172" s="70">
        <f t="shared" si="16"/>
        <v>3327917.5</v>
      </c>
      <c r="R172" s="63">
        <v>25613</v>
      </c>
      <c r="S172" s="31">
        <v>34150</v>
      </c>
      <c r="T172" s="31">
        <f t="shared" si="17"/>
        <v>25612.5</v>
      </c>
    </row>
    <row r="173" spans="1:20" ht="47.25">
      <c r="A173" s="10">
        <f t="shared" si="19"/>
        <v>147</v>
      </c>
      <c r="B173" s="94" t="s">
        <v>221</v>
      </c>
      <c r="C173" s="35">
        <v>100</v>
      </c>
      <c r="D173" s="69">
        <v>25</v>
      </c>
      <c r="E173" s="34"/>
      <c r="F173" s="34"/>
      <c r="G173" s="34"/>
      <c r="H173" s="35">
        <v>100</v>
      </c>
      <c r="I173" s="64">
        <v>3415000</v>
      </c>
      <c r="J173" s="31">
        <f t="shared" si="15"/>
        <v>34150</v>
      </c>
      <c r="K173" s="32"/>
      <c r="L173" s="34"/>
      <c r="M173" s="34"/>
      <c r="N173" s="34"/>
      <c r="O173" s="32"/>
      <c r="P173" s="32"/>
      <c r="Q173" s="70">
        <f t="shared" si="16"/>
        <v>3415000</v>
      </c>
      <c r="R173" s="63">
        <v>0</v>
      </c>
      <c r="S173" s="31">
        <v>34150</v>
      </c>
      <c r="T173" s="31">
        <f t="shared" si="17"/>
        <v>25612.5</v>
      </c>
    </row>
    <row r="174" spans="1:20" ht="47.25">
      <c r="A174" s="10">
        <f t="shared" si="19"/>
        <v>148</v>
      </c>
      <c r="B174" s="94" t="s">
        <v>222</v>
      </c>
      <c r="C174" s="35">
        <v>404.63</v>
      </c>
      <c r="D174" s="69">
        <v>360.5</v>
      </c>
      <c r="E174" s="34"/>
      <c r="F174" s="34"/>
      <c r="G174" s="34"/>
      <c r="H174" s="35">
        <v>404.63</v>
      </c>
      <c r="I174" s="64">
        <v>13818114.5</v>
      </c>
      <c r="J174" s="31">
        <f t="shared" si="15"/>
        <v>34150</v>
      </c>
      <c r="K174" s="32"/>
      <c r="L174" s="34"/>
      <c r="M174" s="34"/>
      <c r="N174" s="34"/>
      <c r="O174" s="32"/>
      <c r="P174" s="32"/>
      <c r="Q174" s="70">
        <f t="shared" si="16"/>
        <v>13818114.5</v>
      </c>
      <c r="R174" s="63">
        <v>87765</v>
      </c>
      <c r="S174" s="31">
        <v>34150</v>
      </c>
      <c r="T174" s="31">
        <f t="shared" si="17"/>
        <v>25612.5</v>
      </c>
    </row>
    <row r="175" spans="1:20" ht="47.25">
      <c r="A175" s="10">
        <f t="shared" si="19"/>
        <v>149</v>
      </c>
      <c r="B175" s="94" t="s">
        <v>223</v>
      </c>
      <c r="C175" s="35">
        <v>298.14</v>
      </c>
      <c r="D175" s="69">
        <v>146.1</v>
      </c>
      <c r="E175" s="34"/>
      <c r="F175" s="34"/>
      <c r="G175" s="34"/>
      <c r="H175" s="35">
        <v>298.14</v>
      </c>
      <c r="I175" s="64">
        <v>10181481</v>
      </c>
      <c r="J175" s="31">
        <f t="shared" si="15"/>
        <v>34150</v>
      </c>
      <c r="K175" s="32"/>
      <c r="L175" s="34"/>
      <c r="M175" s="34"/>
      <c r="N175" s="34"/>
      <c r="O175" s="32"/>
      <c r="P175" s="32"/>
      <c r="Q175" s="70">
        <f t="shared" si="16"/>
        <v>10181481</v>
      </c>
      <c r="R175" s="63">
        <v>814819</v>
      </c>
      <c r="S175" s="31">
        <v>34150</v>
      </c>
      <c r="T175" s="31">
        <f t="shared" si="17"/>
        <v>25612.5</v>
      </c>
    </row>
    <row r="176" spans="1:20" ht="47.25">
      <c r="A176" s="10">
        <f t="shared" si="19"/>
        <v>150</v>
      </c>
      <c r="B176" s="94" t="s">
        <v>224</v>
      </c>
      <c r="C176" s="35">
        <v>146.04</v>
      </c>
      <c r="D176" s="69">
        <v>36.8</v>
      </c>
      <c r="E176" s="34"/>
      <c r="F176" s="34"/>
      <c r="G176" s="34"/>
      <c r="H176" s="35">
        <v>146.04</v>
      </c>
      <c r="I176" s="64">
        <v>4987266</v>
      </c>
      <c r="J176" s="31">
        <f t="shared" si="15"/>
        <v>34150</v>
      </c>
      <c r="K176" s="34"/>
      <c r="L176" s="34"/>
      <c r="M176" s="34"/>
      <c r="N176" s="34"/>
      <c r="O176" s="34"/>
      <c r="P176" s="34"/>
      <c r="Q176" s="70">
        <f t="shared" si="16"/>
        <v>4987266</v>
      </c>
      <c r="R176" s="63">
        <v>19124</v>
      </c>
      <c r="S176" s="31">
        <v>34150</v>
      </c>
      <c r="T176" s="31">
        <f t="shared" si="17"/>
        <v>25612.5</v>
      </c>
    </row>
    <row r="177" spans="1:20" ht="47.25">
      <c r="A177" s="10">
        <f t="shared" si="19"/>
        <v>151</v>
      </c>
      <c r="B177" s="94" t="s">
        <v>225</v>
      </c>
      <c r="C177" s="35">
        <v>144.7</v>
      </c>
      <c r="D177" s="69">
        <v>45.5</v>
      </c>
      <c r="E177" s="34"/>
      <c r="F177" s="34"/>
      <c r="G177" s="34"/>
      <c r="H177" s="35">
        <v>144.7</v>
      </c>
      <c r="I177" s="64">
        <v>4941505</v>
      </c>
      <c r="J177" s="31">
        <f t="shared" si="15"/>
        <v>34150</v>
      </c>
      <c r="K177" s="32"/>
      <c r="L177" s="34"/>
      <c r="M177" s="34"/>
      <c r="N177" s="34"/>
      <c r="O177" s="32"/>
      <c r="P177" s="32"/>
      <c r="Q177" s="70">
        <f t="shared" si="16"/>
        <v>4941505</v>
      </c>
      <c r="R177" s="63">
        <v>30735</v>
      </c>
      <c r="S177" s="31">
        <v>34150</v>
      </c>
      <c r="T177" s="31">
        <f t="shared" si="17"/>
        <v>25612.5</v>
      </c>
    </row>
    <row r="178" spans="1:20" ht="47.25">
      <c r="A178" s="10">
        <f t="shared" si="19"/>
        <v>152</v>
      </c>
      <c r="B178" s="94" t="s">
        <v>226</v>
      </c>
      <c r="C178" s="35">
        <v>103.62</v>
      </c>
      <c r="D178" s="69">
        <v>0</v>
      </c>
      <c r="E178" s="34"/>
      <c r="F178" s="34"/>
      <c r="G178" s="34"/>
      <c r="H178" s="35">
        <v>103.62</v>
      </c>
      <c r="I178" s="64">
        <v>3538623</v>
      </c>
      <c r="J178" s="31">
        <f t="shared" si="15"/>
        <v>34150</v>
      </c>
      <c r="K178" s="32"/>
      <c r="L178" s="34"/>
      <c r="M178" s="34"/>
      <c r="N178" s="34"/>
      <c r="O178" s="32"/>
      <c r="P178" s="32"/>
      <c r="Q178" s="70">
        <f t="shared" si="16"/>
        <v>3538623</v>
      </c>
      <c r="R178" s="63">
        <v>152992</v>
      </c>
      <c r="S178" s="31">
        <v>34150</v>
      </c>
      <c r="T178" s="31">
        <f t="shared" si="17"/>
        <v>25612.5</v>
      </c>
    </row>
    <row r="179" spans="1:20" ht="47.25">
      <c r="A179" s="10">
        <f t="shared" si="19"/>
        <v>153</v>
      </c>
      <c r="B179" s="94" t="s">
        <v>227</v>
      </c>
      <c r="C179" s="35">
        <v>191.6</v>
      </c>
      <c r="D179" s="69">
        <v>131.4</v>
      </c>
      <c r="E179" s="34"/>
      <c r="F179" s="34"/>
      <c r="G179" s="34"/>
      <c r="H179" s="35">
        <v>191.6</v>
      </c>
      <c r="I179" s="64">
        <v>6543140</v>
      </c>
      <c r="J179" s="31">
        <f t="shared" si="15"/>
        <v>34150</v>
      </c>
      <c r="K179" s="34"/>
      <c r="L179" s="34"/>
      <c r="M179" s="34"/>
      <c r="N179" s="34"/>
      <c r="O179" s="34"/>
      <c r="P179" s="34"/>
      <c r="Q179" s="70">
        <f t="shared" si="16"/>
        <v>6543140</v>
      </c>
      <c r="R179" s="63">
        <v>163920</v>
      </c>
      <c r="S179" s="31">
        <v>34150</v>
      </c>
      <c r="T179" s="31">
        <f t="shared" si="17"/>
        <v>25612.5</v>
      </c>
    </row>
    <row r="180" spans="1:20" ht="47.25">
      <c r="A180" s="10">
        <f t="shared" si="19"/>
        <v>154</v>
      </c>
      <c r="B180" s="94" t="s">
        <v>228</v>
      </c>
      <c r="C180" s="35">
        <v>79.5</v>
      </c>
      <c r="D180" s="69">
        <v>79.5</v>
      </c>
      <c r="E180" s="34"/>
      <c r="F180" s="34"/>
      <c r="G180" s="34"/>
      <c r="H180" s="35">
        <v>79.5</v>
      </c>
      <c r="I180" s="64">
        <v>2714925</v>
      </c>
      <c r="J180" s="31">
        <f t="shared" si="15"/>
        <v>34150</v>
      </c>
      <c r="K180" s="34"/>
      <c r="L180" s="34"/>
      <c r="M180" s="34"/>
      <c r="N180" s="34"/>
      <c r="O180" s="34"/>
      <c r="P180" s="34"/>
      <c r="Q180" s="70">
        <f t="shared" si="16"/>
        <v>2714925</v>
      </c>
      <c r="R180" s="63">
        <v>17075</v>
      </c>
      <c r="S180" s="31">
        <v>34150</v>
      </c>
      <c r="T180" s="31">
        <f t="shared" si="17"/>
        <v>25612.5</v>
      </c>
    </row>
    <row r="181" spans="1:20" ht="15.75">
      <c r="A181" s="179" t="s">
        <v>229</v>
      </c>
      <c r="B181" s="179"/>
      <c r="C181" s="68">
        <v>529.3</v>
      </c>
      <c r="D181" s="69">
        <v>452.8</v>
      </c>
      <c r="E181" s="34"/>
      <c r="F181" s="34"/>
      <c r="G181" s="34"/>
      <c r="H181" s="68">
        <v>529.3</v>
      </c>
      <c r="I181" s="68">
        <v>18075595</v>
      </c>
      <c r="J181" s="31">
        <f t="shared" si="15"/>
        <v>34150</v>
      </c>
      <c r="K181" s="34"/>
      <c r="L181" s="34"/>
      <c r="M181" s="34"/>
      <c r="N181" s="34"/>
      <c r="O181" s="34"/>
      <c r="P181" s="34"/>
      <c r="Q181" s="70">
        <f t="shared" si="16"/>
        <v>18075595</v>
      </c>
      <c r="R181" s="63">
        <v>0</v>
      </c>
      <c r="S181" s="31">
        <v>34150</v>
      </c>
      <c r="T181" s="31">
        <f t="shared" si="17"/>
        <v>25612.5</v>
      </c>
    </row>
    <row r="182" spans="1:20" ht="47.25">
      <c r="A182" s="49">
        <v>155</v>
      </c>
      <c r="B182" s="21" t="s">
        <v>230</v>
      </c>
      <c r="C182" s="69">
        <v>301.4</v>
      </c>
      <c r="D182" s="69">
        <v>224.9</v>
      </c>
      <c r="E182" s="34"/>
      <c r="F182" s="34"/>
      <c r="G182" s="34"/>
      <c r="H182" s="69">
        <v>301.4</v>
      </c>
      <c r="I182" s="70">
        <v>10292810</v>
      </c>
      <c r="J182" s="31">
        <f t="shared" si="15"/>
        <v>34150</v>
      </c>
      <c r="K182" s="34"/>
      <c r="L182" s="34"/>
      <c r="M182" s="34"/>
      <c r="N182" s="34"/>
      <c r="O182" s="34"/>
      <c r="P182" s="34"/>
      <c r="Q182" s="70">
        <f t="shared" si="16"/>
        <v>10292810</v>
      </c>
      <c r="R182" s="63">
        <v>0</v>
      </c>
      <c r="S182" s="31">
        <v>34150</v>
      </c>
      <c r="T182" s="31">
        <f t="shared" si="17"/>
        <v>25612.5</v>
      </c>
    </row>
    <row r="183" spans="1:20" ht="47.25">
      <c r="A183" s="10">
        <f>A182+1</f>
        <v>156</v>
      </c>
      <c r="B183" s="94" t="s">
        <v>231</v>
      </c>
      <c r="C183" s="31">
        <v>227.9</v>
      </c>
      <c r="D183" s="69">
        <v>227.9</v>
      </c>
      <c r="E183" s="34"/>
      <c r="F183" s="34"/>
      <c r="G183" s="34"/>
      <c r="H183" s="31">
        <v>227.9</v>
      </c>
      <c r="I183" s="63">
        <v>7782785</v>
      </c>
      <c r="J183" s="31">
        <f t="shared" si="15"/>
        <v>34150</v>
      </c>
      <c r="K183" s="34"/>
      <c r="L183" s="34"/>
      <c r="M183" s="34"/>
      <c r="N183" s="34"/>
      <c r="O183" s="34"/>
      <c r="P183" s="34"/>
      <c r="Q183" s="70">
        <f t="shared" si="16"/>
        <v>7782785</v>
      </c>
      <c r="R183" s="63">
        <v>0</v>
      </c>
      <c r="S183" s="31">
        <v>34150</v>
      </c>
      <c r="T183" s="31">
        <f t="shared" si="17"/>
        <v>25612.5</v>
      </c>
    </row>
    <row r="184" spans="1:20" ht="15.75">
      <c r="A184" s="179" t="s">
        <v>232</v>
      </c>
      <c r="B184" s="179"/>
      <c r="C184" s="34">
        <v>614.2</v>
      </c>
      <c r="D184" s="69">
        <v>231</v>
      </c>
      <c r="E184" s="34"/>
      <c r="F184" s="34"/>
      <c r="G184" s="34"/>
      <c r="H184" s="34">
        <v>614.2</v>
      </c>
      <c r="I184" s="63">
        <v>20974930</v>
      </c>
      <c r="J184" s="31">
        <f t="shared" si="15"/>
        <v>34150</v>
      </c>
      <c r="K184" s="34"/>
      <c r="L184" s="34"/>
      <c r="M184" s="34"/>
      <c r="N184" s="34"/>
      <c r="O184" s="34"/>
      <c r="P184" s="34"/>
      <c r="Q184" s="70">
        <f t="shared" si="16"/>
        <v>20974930</v>
      </c>
      <c r="R184" s="63">
        <v>0</v>
      </c>
      <c r="S184" s="31">
        <v>34150</v>
      </c>
      <c r="T184" s="31">
        <f t="shared" si="17"/>
        <v>25612.5</v>
      </c>
    </row>
    <row r="185" spans="1:20" ht="47.25">
      <c r="A185" s="10">
        <v>157</v>
      </c>
      <c r="B185" s="94" t="s">
        <v>233</v>
      </c>
      <c r="C185" s="31">
        <v>57.2</v>
      </c>
      <c r="D185" s="69">
        <v>28.7</v>
      </c>
      <c r="E185" s="34"/>
      <c r="F185" s="34"/>
      <c r="G185" s="34"/>
      <c r="H185" s="31">
        <v>57.2</v>
      </c>
      <c r="I185" s="63">
        <v>1953380</v>
      </c>
      <c r="J185" s="31">
        <f t="shared" si="15"/>
        <v>34150</v>
      </c>
      <c r="K185" s="34"/>
      <c r="L185" s="34"/>
      <c r="M185" s="34"/>
      <c r="N185" s="34"/>
      <c r="O185" s="34"/>
      <c r="P185" s="34"/>
      <c r="Q185" s="70">
        <f t="shared" si="16"/>
        <v>1953380</v>
      </c>
      <c r="R185" s="63">
        <v>0</v>
      </c>
      <c r="S185" s="31">
        <v>34150</v>
      </c>
      <c r="T185" s="31">
        <f t="shared" si="17"/>
        <v>25612.5</v>
      </c>
    </row>
    <row r="186" spans="1:20" ht="63">
      <c r="A186" s="10">
        <f>A185+1</f>
        <v>158</v>
      </c>
      <c r="B186" s="94" t="s">
        <v>234</v>
      </c>
      <c r="C186" s="31">
        <v>100.7</v>
      </c>
      <c r="D186" s="69">
        <v>0</v>
      </c>
      <c r="E186" s="34"/>
      <c r="F186" s="34"/>
      <c r="G186" s="34"/>
      <c r="H186" s="31">
        <v>100.7</v>
      </c>
      <c r="I186" s="63">
        <v>3438905</v>
      </c>
      <c r="J186" s="31">
        <f t="shared" si="15"/>
        <v>34150</v>
      </c>
      <c r="K186" s="34"/>
      <c r="L186" s="34"/>
      <c r="M186" s="34"/>
      <c r="N186" s="34"/>
      <c r="O186" s="34"/>
      <c r="P186" s="34"/>
      <c r="Q186" s="70">
        <f t="shared" si="16"/>
        <v>3438905</v>
      </c>
      <c r="R186" s="63">
        <v>0</v>
      </c>
      <c r="S186" s="31">
        <v>34150</v>
      </c>
      <c r="T186" s="31">
        <f t="shared" si="17"/>
        <v>25612.5</v>
      </c>
    </row>
    <row r="187" spans="1:20" ht="47.25">
      <c r="A187" s="10">
        <f aca="true" t="shared" si="20" ref="A187:A194">A186+1</f>
        <v>159</v>
      </c>
      <c r="B187" s="94" t="s">
        <v>235</v>
      </c>
      <c r="C187" s="31">
        <v>67.8</v>
      </c>
      <c r="D187" s="69">
        <v>67.8</v>
      </c>
      <c r="E187" s="34"/>
      <c r="F187" s="34"/>
      <c r="G187" s="34"/>
      <c r="H187" s="31">
        <v>67.8</v>
      </c>
      <c r="I187" s="63">
        <v>2315370</v>
      </c>
      <c r="J187" s="31">
        <f t="shared" si="15"/>
        <v>34150</v>
      </c>
      <c r="K187" s="34"/>
      <c r="L187" s="34"/>
      <c r="M187" s="34"/>
      <c r="N187" s="34"/>
      <c r="O187" s="34"/>
      <c r="P187" s="34"/>
      <c r="Q187" s="70">
        <f t="shared" si="16"/>
        <v>2315370</v>
      </c>
      <c r="R187" s="63">
        <v>0</v>
      </c>
      <c r="S187" s="31">
        <v>34150</v>
      </c>
      <c r="T187" s="31">
        <f t="shared" si="17"/>
        <v>25612.5</v>
      </c>
    </row>
    <row r="188" spans="1:20" ht="47.25">
      <c r="A188" s="10">
        <f t="shared" si="20"/>
        <v>160</v>
      </c>
      <c r="B188" s="94" t="s">
        <v>236</v>
      </c>
      <c r="C188" s="31">
        <v>51.7</v>
      </c>
      <c r="D188" s="69">
        <v>51.7</v>
      </c>
      <c r="E188" s="34"/>
      <c r="F188" s="34"/>
      <c r="G188" s="34"/>
      <c r="H188" s="31">
        <v>51.7</v>
      </c>
      <c r="I188" s="63">
        <v>1765555</v>
      </c>
      <c r="J188" s="31">
        <f t="shared" si="15"/>
        <v>34150</v>
      </c>
      <c r="K188" s="34"/>
      <c r="L188" s="34"/>
      <c r="M188" s="34"/>
      <c r="N188" s="34"/>
      <c r="O188" s="34"/>
      <c r="P188" s="34"/>
      <c r="Q188" s="70">
        <f t="shared" si="16"/>
        <v>1765555</v>
      </c>
      <c r="R188" s="63">
        <v>0</v>
      </c>
      <c r="S188" s="31">
        <v>34150</v>
      </c>
      <c r="T188" s="31">
        <f t="shared" si="17"/>
        <v>25612.5</v>
      </c>
    </row>
    <row r="189" spans="1:20" ht="47.25">
      <c r="A189" s="10">
        <f t="shared" si="20"/>
        <v>161</v>
      </c>
      <c r="B189" s="94" t="s">
        <v>699</v>
      </c>
      <c r="C189" s="31">
        <v>60.9</v>
      </c>
      <c r="D189" s="69">
        <v>30.2</v>
      </c>
      <c r="E189" s="34"/>
      <c r="F189" s="34"/>
      <c r="G189" s="34"/>
      <c r="H189" s="31">
        <v>60.9</v>
      </c>
      <c r="I189" s="63">
        <v>2079735</v>
      </c>
      <c r="J189" s="31">
        <f t="shared" si="15"/>
        <v>34150</v>
      </c>
      <c r="K189" s="34"/>
      <c r="L189" s="34"/>
      <c r="M189" s="34"/>
      <c r="N189" s="34"/>
      <c r="O189" s="34"/>
      <c r="P189" s="34"/>
      <c r="Q189" s="70">
        <f t="shared" si="16"/>
        <v>2079735</v>
      </c>
      <c r="R189" s="63">
        <v>0</v>
      </c>
      <c r="S189" s="31">
        <v>34150</v>
      </c>
      <c r="T189" s="31">
        <f t="shared" si="17"/>
        <v>25612.5</v>
      </c>
    </row>
    <row r="190" spans="1:20" ht="47.25">
      <c r="A190" s="10">
        <f t="shared" si="20"/>
        <v>162</v>
      </c>
      <c r="B190" s="94" t="s">
        <v>237</v>
      </c>
      <c r="C190" s="31">
        <v>43.8</v>
      </c>
      <c r="D190" s="69">
        <v>15.9</v>
      </c>
      <c r="E190" s="34"/>
      <c r="F190" s="34"/>
      <c r="G190" s="34"/>
      <c r="H190" s="31">
        <v>43.8</v>
      </c>
      <c r="I190" s="63">
        <v>1495770</v>
      </c>
      <c r="J190" s="31">
        <f t="shared" si="15"/>
        <v>34150</v>
      </c>
      <c r="K190" s="34"/>
      <c r="L190" s="34"/>
      <c r="M190" s="34"/>
      <c r="N190" s="34"/>
      <c r="O190" s="34"/>
      <c r="P190" s="34"/>
      <c r="Q190" s="70">
        <f t="shared" si="16"/>
        <v>1495770</v>
      </c>
      <c r="R190" s="63">
        <v>0</v>
      </c>
      <c r="S190" s="31">
        <v>34150</v>
      </c>
      <c r="T190" s="31">
        <f t="shared" si="17"/>
        <v>25612.5</v>
      </c>
    </row>
    <row r="191" spans="1:20" ht="47.25">
      <c r="A191" s="10">
        <f t="shared" si="20"/>
        <v>163</v>
      </c>
      <c r="B191" s="94" t="s">
        <v>238</v>
      </c>
      <c r="C191" s="145">
        <v>52.5</v>
      </c>
      <c r="D191" s="69">
        <v>0</v>
      </c>
      <c r="E191" s="34"/>
      <c r="F191" s="34"/>
      <c r="G191" s="34"/>
      <c r="H191" s="31">
        <v>52.5</v>
      </c>
      <c r="I191" s="63">
        <v>1792875</v>
      </c>
      <c r="J191" s="31">
        <f t="shared" si="15"/>
        <v>34150</v>
      </c>
      <c r="K191" s="32"/>
      <c r="L191" s="34"/>
      <c r="M191" s="34"/>
      <c r="N191" s="34"/>
      <c r="O191" s="32"/>
      <c r="P191" s="32"/>
      <c r="Q191" s="70">
        <f t="shared" si="16"/>
        <v>1792875</v>
      </c>
      <c r="R191" s="63">
        <v>0</v>
      </c>
      <c r="S191" s="31">
        <v>34150</v>
      </c>
      <c r="T191" s="31">
        <f t="shared" si="17"/>
        <v>25612.5</v>
      </c>
    </row>
    <row r="192" spans="1:20" ht="47.25">
      <c r="A192" s="10">
        <f t="shared" si="20"/>
        <v>164</v>
      </c>
      <c r="B192" s="94" t="s">
        <v>239</v>
      </c>
      <c r="C192" s="31">
        <v>72.7</v>
      </c>
      <c r="D192" s="69">
        <v>36.7</v>
      </c>
      <c r="E192" s="34"/>
      <c r="F192" s="34"/>
      <c r="G192" s="34"/>
      <c r="H192" s="31">
        <v>72.7</v>
      </c>
      <c r="I192" s="63">
        <v>2482705</v>
      </c>
      <c r="J192" s="31">
        <f t="shared" si="15"/>
        <v>34150</v>
      </c>
      <c r="K192" s="34"/>
      <c r="L192" s="34"/>
      <c r="M192" s="34"/>
      <c r="N192" s="34"/>
      <c r="O192" s="34"/>
      <c r="P192" s="34"/>
      <c r="Q192" s="70">
        <f t="shared" si="16"/>
        <v>2482705</v>
      </c>
      <c r="R192" s="63">
        <v>0</v>
      </c>
      <c r="S192" s="31">
        <v>34150</v>
      </c>
      <c r="T192" s="31">
        <f t="shared" si="17"/>
        <v>25612.5</v>
      </c>
    </row>
    <row r="193" spans="1:20" ht="47.25">
      <c r="A193" s="10">
        <f t="shared" si="20"/>
        <v>165</v>
      </c>
      <c r="B193" s="94" t="s">
        <v>240</v>
      </c>
      <c r="C193" s="31">
        <v>52.9</v>
      </c>
      <c r="D193" s="69">
        <v>0</v>
      </c>
      <c r="E193" s="34"/>
      <c r="F193" s="34"/>
      <c r="G193" s="34"/>
      <c r="H193" s="31">
        <v>52.9</v>
      </c>
      <c r="I193" s="63">
        <v>1806535</v>
      </c>
      <c r="J193" s="31">
        <f t="shared" si="15"/>
        <v>34150</v>
      </c>
      <c r="K193" s="32"/>
      <c r="L193" s="34"/>
      <c r="M193" s="34"/>
      <c r="N193" s="34"/>
      <c r="O193" s="32"/>
      <c r="P193" s="32"/>
      <c r="Q193" s="70">
        <f t="shared" si="16"/>
        <v>1806535</v>
      </c>
      <c r="R193" s="63">
        <v>0</v>
      </c>
      <c r="S193" s="31">
        <v>34150</v>
      </c>
      <c r="T193" s="31">
        <f t="shared" si="17"/>
        <v>25612.5</v>
      </c>
    </row>
    <row r="194" spans="1:20" ht="47.25">
      <c r="A194" s="10">
        <f t="shared" si="20"/>
        <v>166</v>
      </c>
      <c r="B194" s="94" t="s">
        <v>241</v>
      </c>
      <c r="C194" s="31">
        <v>54</v>
      </c>
      <c r="D194" s="69">
        <v>0</v>
      </c>
      <c r="E194" s="34"/>
      <c r="F194" s="34"/>
      <c r="G194" s="34"/>
      <c r="H194" s="31">
        <v>54</v>
      </c>
      <c r="I194" s="63">
        <v>1844100</v>
      </c>
      <c r="J194" s="31">
        <f t="shared" si="15"/>
        <v>34150</v>
      </c>
      <c r="K194" s="32"/>
      <c r="L194" s="34"/>
      <c r="M194" s="34"/>
      <c r="N194" s="34"/>
      <c r="O194" s="32"/>
      <c r="P194" s="32"/>
      <c r="Q194" s="70">
        <f t="shared" si="16"/>
        <v>1844100</v>
      </c>
      <c r="R194" s="63">
        <v>0</v>
      </c>
      <c r="S194" s="31">
        <v>34150</v>
      </c>
      <c r="T194" s="31">
        <f t="shared" si="17"/>
        <v>25612.5</v>
      </c>
    </row>
    <row r="195" spans="1:20" ht="15.75">
      <c r="A195" s="179" t="s">
        <v>242</v>
      </c>
      <c r="B195" s="179"/>
      <c r="C195" s="31">
        <v>381.6</v>
      </c>
      <c r="D195" s="69">
        <v>339.8</v>
      </c>
      <c r="E195" s="34"/>
      <c r="F195" s="34"/>
      <c r="G195" s="34"/>
      <c r="H195" s="31">
        <v>381.6</v>
      </c>
      <c r="I195" s="63">
        <v>13031640</v>
      </c>
      <c r="J195" s="31">
        <f t="shared" si="15"/>
        <v>34150</v>
      </c>
      <c r="K195" s="32"/>
      <c r="L195" s="34"/>
      <c r="M195" s="34"/>
      <c r="N195" s="34"/>
      <c r="O195" s="32"/>
      <c r="P195" s="32"/>
      <c r="Q195" s="70">
        <f t="shared" si="16"/>
        <v>13031640</v>
      </c>
      <c r="R195" s="63">
        <v>0</v>
      </c>
      <c r="S195" s="31">
        <v>34150</v>
      </c>
      <c r="T195" s="31">
        <f t="shared" si="17"/>
        <v>25612.5</v>
      </c>
    </row>
    <row r="196" spans="1:20" ht="31.5">
      <c r="A196" s="32">
        <v>167</v>
      </c>
      <c r="B196" s="116" t="s">
        <v>650</v>
      </c>
      <c r="C196" s="31">
        <v>381.6</v>
      </c>
      <c r="D196" s="69">
        <v>339.8</v>
      </c>
      <c r="E196" s="34"/>
      <c r="F196" s="34"/>
      <c r="G196" s="34"/>
      <c r="H196" s="31">
        <v>381.6</v>
      </c>
      <c r="I196" s="63">
        <v>13031640</v>
      </c>
      <c r="J196" s="31">
        <f t="shared" si="15"/>
        <v>34150</v>
      </c>
      <c r="K196" s="32"/>
      <c r="L196" s="34"/>
      <c r="M196" s="34"/>
      <c r="N196" s="34"/>
      <c r="O196" s="32"/>
      <c r="P196" s="32"/>
      <c r="Q196" s="70">
        <f t="shared" si="16"/>
        <v>13031640</v>
      </c>
      <c r="R196" s="63">
        <v>0</v>
      </c>
      <c r="S196" s="31">
        <v>34150</v>
      </c>
      <c r="T196" s="31">
        <f t="shared" si="17"/>
        <v>25612.5</v>
      </c>
    </row>
    <row r="197" spans="1:20" ht="15.75">
      <c r="A197" s="179" t="s">
        <v>243</v>
      </c>
      <c r="B197" s="179"/>
      <c r="C197" s="34">
        <v>733.3</v>
      </c>
      <c r="D197" s="69">
        <v>549.2</v>
      </c>
      <c r="E197" s="34"/>
      <c r="F197" s="34"/>
      <c r="G197" s="34"/>
      <c r="H197" s="34">
        <v>733.3</v>
      </c>
      <c r="I197" s="34">
        <v>25042195</v>
      </c>
      <c r="J197" s="31">
        <f t="shared" si="15"/>
        <v>34150</v>
      </c>
      <c r="K197" s="32"/>
      <c r="L197" s="34"/>
      <c r="M197" s="34"/>
      <c r="N197" s="34"/>
      <c r="O197" s="32"/>
      <c r="P197" s="32"/>
      <c r="Q197" s="70">
        <f t="shared" si="16"/>
        <v>25042195</v>
      </c>
      <c r="R197" s="63">
        <v>0</v>
      </c>
      <c r="S197" s="31">
        <v>34150</v>
      </c>
      <c r="T197" s="31">
        <f t="shared" si="17"/>
        <v>25612.5</v>
      </c>
    </row>
    <row r="198" spans="1:20" ht="31.5">
      <c r="A198" s="10">
        <v>168</v>
      </c>
      <c r="B198" s="94" t="s">
        <v>244</v>
      </c>
      <c r="C198" s="35">
        <v>392</v>
      </c>
      <c r="D198" s="69">
        <v>343.1</v>
      </c>
      <c r="E198" s="68"/>
      <c r="F198" s="68"/>
      <c r="G198" s="68"/>
      <c r="H198" s="35">
        <v>392</v>
      </c>
      <c r="I198" s="63">
        <v>13386800</v>
      </c>
      <c r="J198" s="31">
        <f t="shared" si="15"/>
        <v>34150</v>
      </c>
      <c r="K198" s="34"/>
      <c r="L198" s="34"/>
      <c r="M198" s="34"/>
      <c r="N198" s="34"/>
      <c r="O198" s="34"/>
      <c r="P198" s="34"/>
      <c r="Q198" s="70">
        <f t="shared" si="16"/>
        <v>13386800</v>
      </c>
      <c r="R198" s="63">
        <v>0</v>
      </c>
      <c r="S198" s="31">
        <v>34150</v>
      </c>
      <c r="T198" s="31">
        <f t="shared" si="17"/>
        <v>25612.5</v>
      </c>
    </row>
    <row r="199" spans="1:20" ht="31.5">
      <c r="A199" s="10">
        <f>A198+1</f>
        <v>169</v>
      </c>
      <c r="B199" s="94" t="s">
        <v>245</v>
      </c>
      <c r="C199" s="35">
        <v>186.9</v>
      </c>
      <c r="D199" s="69">
        <v>87.2</v>
      </c>
      <c r="E199" s="68"/>
      <c r="F199" s="68"/>
      <c r="G199" s="68"/>
      <c r="H199" s="35">
        <v>186.9</v>
      </c>
      <c r="I199" s="63">
        <v>6382635</v>
      </c>
      <c r="J199" s="31">
        <f t="shared" si="15"/>
        <v>34150</v>
      </c>
      <c r="K199" s="34"/>
      <c r="L199" s="34"/>
      <c r="M199" s="34"/>
      <c r="N199" s="34"/>
      <c r="O199" s="34"/>
      <c r="P199" s="34"/>
      <c r="Q199" s="70">
        <f t="shared" si="16"/>
        <v>6382635</v>
      </c>
      <c r="R199" s="63">
        <v>0</v>
      </c>
      <c r="S199" s="31">
        <v>34150</v>
      </c>
      <c r="T199" s="31">
        <f t="shared" si="17"/>
        <v>25612.5</v>
      </c>
    </row>
    <row r="200" spans="1:20" ht="31.5">
      <c r="A200" s="10">
        <f>A199+1</f>
        <v>170</v>
      </c>
      <c r="B200" s="94" t="s">
        <v>246</v>
      </c>
      <c r="C200" s="35">
        <v>154.4</v>
      </c>
      <c r="D200" s="69">
        <v>118.9</v>
      </c>
      <c r="E200" s="68"/>
      <c r="F200" s="68"/>
      <c r="G200" s="68"/>
      <c r="H200" s="35">
        <v>154.4</v>
      </c>
      <c r="I200" s="63">
        <v>5272760</v>
      </c>
      <c r="J200" s="31">
        <f t="shared" si="15"/>
        <v>34150</v>
      </c>
      <c r="K200" s="34"/>
      <c r="L200" s="34"/>
      <c r="M200" s="34"/>
      <c r="N200" s="34"/>
      <c r="O200" s="34"/>
      <c r="P200" s="34"/>
      <c r="Q200" s="70">
        <f t="shared" si="16"/>
        <v>5272760</v>
      </c>
      <c r="R200" s="63">
        <v>0</v>
      </c>
      <c r="S200" s="31">
        <v>34150</v>
      </c>
      <c r="T200" s="31">
        <f t="shared" si="17"/>
        <v>25612.5</v>
      </c>
    </row>
    <row r="201" spans="1:20" ht="15.75">
      <c r="A201" s="180" t="s">
        <v>571</v>
      </c>
      <c r="B201" s="180"/>
      <c r="C201" s="69">
        <v>37452.01</v>
      </c>
      <c r="D201" s="69">
        <v>20953.09</v>
      </c>
      <c r="E201" s="68"/>
      <c r="F201" s="68"/>
      <c r="G201" s="68"/>
      <c r="H201" s="69">
        <v>37452.01</v>
      </c>
      <c r="I201" s="70">
        <v>1278986141.5</v>
      </c>
      <c r="J201" s="31">
        <f aca="true" t="shared" si="21" ref="J201:J264">I201/H201</f>
        <v>34150</v>
      </c>
      <c r="K201" s="34"/>
      <c r="L201" s="34"/>
      <c r="M201" s="34"/>
      <c r="N201" s="34"/>
      <c r="O201" s="34"/>
      <c r="P201" s="34"/>
      <c r="Q201" s="70">
        <f aca="true" t="shared" si="22" ref="Q201:Q264">I201</f>
        <v>1278986141.5</v>
      </c>
      <c r="R201" s="63">
        <v>2124130</v>
      </c>
      <c r="S201" s="31">
        <v>34150</v>
      </c>
      <c r="T201" s="31">
        <f t="shared" si="17"/>
        <v>25612.5</v>
      </c>
    </row>
    <row r="202" spans="1:20" ht="15.75">
      <c r="A202" s="181" t="s">
        <v>573</v>
      </c>
      <c r="B202" s="181"/>
      <c r="C202" s="68">
        <v>3857.18</v>
      </c>
      <c r="D202" s="69">
        <v>1645.66</v>
      </c>
      <c r="E202" s="68"/>
      <c r="F202" s="68"/>
      <c r="G202" s="68"/>
      <c r="H202" s="68">
        <v>3857.18</v>
      </c>
      <c r="I202" s="70">
        <v>131722697</v>
      </c>
      <c r="J202" s="31">
        <f t="shared" si="21"/>
        <v>34150</v>
      </c>
      <c r="K202" s="34"/>
      <c r="L202" s="34"/>
      <c r="M202" s="34"/>
      <c r="N202" s="34"/>
      <c r="O202" s="34"/>
      <c r="P202" s="34"/>
      <c r="Q202" s="70">
        <f t="shared" si="22"/>
        <v>131722697</v>
      </c>
      <c r="R202" s="63">
        <v>0</v>
      </c>
      <c r="S202" s="31">
        <v>34150</v>
      </c>
      <c r="T202" s="31">
        <f aca="true" t="shared" si="23" ref="T202:T265">S202/4*3</f>
        <v>25612.5</v>
      </c>
    </row>
    <row r="203" spans="1:20" ht="47.25">
      <c r="A203" s="19">
        <v>1</v>
      </c>
      <c r="B203" s="21" t="s">
        <v>253</v>
      </c>
      <c r="C203" s="59">
        <v>433.93</v>
      </c>
      <c r="D203" s="69">
        <v>141.59</v>
      </c>
      <c r="E203" s="68"/>
      <c r="F203" s="68"/>
      <c r="G203" s="68"/>
      <c r="H203" s="59">
        <v>433.93</v>
      </c>
      <c r="I203" s="70">
        <v>14818709.5</v>
      </c>
      <c r="J203" s="31">
        <f t="shared" si="21"/>
        <v>34150</v>
      </c>
      <c r="K203" s="34"/>
      <c r="L203" s="34"/>
      <c r="M203" s="34"/>
      <c r="N203" s="34"/>
      <c r="O203" s="34"/>
      <c r="P203" s="34"/>
      <c r="Q203" s="70">
        <f t="shared" si="22"/>
        <v>14818709.5</v>
      </c>
      <c r="R203" s="63">
        <v>0</v>
      </c>
      <c r="S203" s="31">
        <v>34150</v>
      </c>
      <c r="T203" s="31">
        <f t="shared" si="23"/>
        <v>25612.5</v>
      </c>
    </row>
    <row r="204" spans="1:20" ht="47.25">
      <c r="A204" s="19">
        <f>A203+1</f>
        <v>2</v>
      </c>
      <c r="B204" s="21" t="s">
        <v>254</v>
      </c>
      <c r="C204" s="59">
        <v>427.45</v>
      </c>
      <c r="D204" s="69">
        <v>136.14</v>
      </c>
      <c r="E204" s="68"/>
      <c r="F204" s="68"/>
      <c r="G204" s="68"/>
      <c r="H204" s="59">
        <v>427.45</v>
      </c>
      <c r="I204" s="70">
        <v>14597417.5</v>
      </c>
      <c r="J204" s="31">
        <f t="shared" si="21"/>
        <v>34150</v>
      </c>
      <c r="K204" s="34"/>
      <c r="L204" s="34"/>
      <c r="M204" s="34"/>
      <c r="N204" s="34"/>
      <c r="O204" s="34"/>
      <c r="P204" s="34"/>
      <c r="Q204" s="70">
        <f t="shared" si="22"/>
        <v>14597417.5</v>
      </c>
      <c r="R204" s="63">
        <v>0</v>
      </c>
      <c r="S204" s="31">
        <v>34150</v>
      </c>
      <c r="T204" s="31">
        <f t="shared" si="23"/>
        <v>25612.5</v>
      </c>
    </row>
    <row r="205" spans="1:20" ht="47.25">
      <c r="A205" s="19">
        <f aca="true" t="shared" si="24" ref="A205:A224">A204+1</f>
        <v>3</v>
      </c>
      <c r="B205" s="21" t="s">
        <v>255</v>
      </c>
      <c r="C205" s="59">
        <v>112.7</v>
      </c>
      <c r="D205" s="69">
        <v>46.76</v>
      </c>
      <c r="E205" s="68"/>
      <c r="F205" s="68"/>
      <c r="G205" s="68"/>
      <c r="H205" s="59">
        <v>112.7</v>
      </c>
      <c r="I205" s="70">
        <v>3848705</v>
      </c>
      <c r="J205" s="31">
        <f t="shared" si="21"/>
        <v>34150</v>
      </c>
      <c r="K205" s="34"/>
      <c r="L205" s="34"/>
      <c r="M205" s="34"/>
      <c r="N205" s="34"/>
      <c r="O205" s="34"/>
      <c r="P205" s="34"/>
      <c r="Q205" s="70">
        <f t="shared" si="22"/>
        <v>3848705</v>
      </c>
      <c r="R205" s="63">
        <v>0</v>
      </c>
      <c r="S205" s="31">
        <v>34150</v>
      </c>
      <c r="T205" s="31">
        <f t="shared" si="23"/>
        <v>25612.5</v>
      </c>
    </row>
    <row r="206" spans="1:20" ht="47.25">
      <c r="A206" s="19">
        <f t="shared" si="24"/>
        <v>4</v>
      </c>
      <c r="B206" s="21" t="s">
        <v>256</v>
      </c>
      <c r="C206" s="59">
        <v>110.4</v>
      </c>
      <c r="D206" s="69">
        <v>88</v>
      </c>
      <c r="E206" s="68"/>
      <c r="F206" s="68"/>
      <c r="G206" s="68"/>
      <c r="H206" s="59">
        <v>110.4</v>
      </c>
      <c r="I206" s="70">
        <v>3770160</v>
      </c>
      <c r="J206" s="31">
        <f t="shared" si="21"/>
        <v>34150</v>
      </c>
      <c r="K206" s="34"/>
      <c r="L206" s="34"/>
      <c r="M206" s="34"/>
      <c r="N206" s="34"/>
      <c r="O206" s="34"/>
      <c r="P206" s="34"/>
      <c r="Q206" s="70">
        <f t="shared" si="22"/>
        <v>3770160</v>
      </c>
      <c r="R206" s="63">
        <v>0</v>
      </c>
      <c r="S206" s="31">
        <v>34150</v>
      </c>
      <c r="T206" s="31">
        <f t="shared" si="23"/>
        <v>25612.5</v>
      </c>
    </row>
    <row r="207" spans="1:20" ht="47.25">
      <c r="A207" s="19">
        <f t="shared" si="24"/>
        <v>5</v>
      </c>
      <c r="B207" s="21" t="s">
        <v>257</v>
      </c>
      <c r="C207" s="59">
        <v>114.97</v>
      </c>
      <c r="D207" s="69">
        <v>53.06</v>
      </c>
      <c r="E207" s="68"/>
      <c r="F207" s="68"/>
      <c r="G207" s="68"/>
      <c r="H207" s="59">
        <v>114.97</v>
      </c>
      <c r="I207" s="70">
        <v>3926225.5</v>
      </c>
      <c r="J207" s="31">
        <f t="shared" si="21"/>
        <v>34150</v>
      </c>
      <c r="K207" s="34"/>
      <c r="L207" s="34"/>
      <c r="M207" s="34"/>
      <c r="N207" s="34"/>
      <c r="O207" s="34"/>
      <c r="P207" s="34"/>
      <c r="Q207" s="70">
        <f t="shared" si="22"/>
        <v>3926225.5</v>
      </c>
      <c r="R207" s="63">
        <v>0</v>
      </c>
      <c r="S207" s="31">
        <v>34150</v>
      </c>
      <c r="T207" s="31">
        <f t="shared" si="23"/>
        <v>25612.5</v>
      </c>
    </row>
    <row r="208" spans="1:20" ht="47.25">
      <c r="A208" s="19">
        <f t="shared" si="24"/>
        <v>6</v>
      </c>
      <c r="B208" s="21" t="s">
        <v>258</v>
      </c>
      <c r="C208" s="59">
        <v>157</v>
      </c>
      <c r="D208" s="69">
        <v>78.48</v>
      </c>
      <c r="E208" s="68"/>
      <c r="F208" s="68"/>
      <c r="G208" s="68"/>
      <c r="H208" s="59">
        <v>157</v>
      </c>
      <c r="I208" s="70">
        <v>5361550</v>
      </c>
      <c r="J208" s="31">
        <f t="shared" si="21"/>
        <v>34150</v>
      </c>
      <c r="K208" s="34"/>
      <c r="L208" s="34"/>
      <c r="M208" s="34"/>
      <c r="N208" s="34"/>
      <c r="O208" s="34"/>
      <c r="P208" s="34"/>
      <c r="Q208" s="70">
        <f t="shared" si="22"/>
        <v>5361550</v>
      </c>
      <c r="R208" s="63">
        <v>0</v>
      </c>
      <c r="S208" s="31">
        <v>34150</v>
      </c>
      <c r="T208" s="31">
        <f t="shared" si="23"/>
        <v>25612.5</v>
      </c>
    </row>
    <row r="209" spans="1:20" ht="47.25">
      <c r="A209" s="19">
        <f t="shared" si="24"/>
        <v>7</v>
      </c>
      <c r="B209" s="21" t="s">
        <v>259</v>
      </c>
      <c r="C209" s="59">
        <v>162.1</v>
      </c>
      <c r="D209" s="69">
        <v>81.4</v>
      </c>
      <c r="E209" s="68"/>
      <c r="F209" s="68"/>
      <c r="G209" s="68"/>
      <c r="H209" s="59">
        <v>162.1</v>
      </c>
      <c r="I209" s="70">
        <v>5535715</v>
      </c>
      <c r="J209" s="31">
        <f t="shared" si="21"/>
        <v>34150</v>
      </c>
      <c r="K209" s="34"/>
      <c r="L209" s="34"/>
      <c r="M209" s="34"/>
      <c r="N209" s="34"/>
      <c r="O209" s="34"/>
      <c r="P209" s="34"/>
      <c r="Q209" s="70">
        <f t="shared" si="22"/>
        <v>5535715</v>
      </c>
      <c r="R209" s="63">
        <v>0</v>
      </c>
      <c r="S209" s="31">
        <v>34150</v>
      </c>
      <c r="T209" s="31">
        <f t="shared" si="23"/>
        <v>25612.5</v>
      </c>
    </row>
    <row r="210" spans="1:20" ht="47.25">
      <c r="A210" s="19">
        <f t="shared" si="24"/>
        <v>8</v>
      </c>
      <c r="B210" s="21" t="s">
        <v>260</v>
      </c>
      <c r="C210" s="59">
        <v>94.03</v>
      </c>
      <c r="D210" s="69">
        <v>23.1</v>
      </c>
      <c r="E210" s="68"/>
      <c r="F210" s="68"/>
      <c r="G210" s="68"/>
      <c r="H210" s="59">
        <v>94.03</v>
      </c>
      <c r="I210" s="70">
        <v>3211124.5</v>
      </c>
      <c r="J210" s="31">
        <f t="shared" si="21"/>
        <v>34150</v>
      </c>
      <c r="K210" s="34"/>
      <c r="L210" s="34"/>
      <c r="M210" s="34"/>
      <c r="N210" s="34"/>
      <c r="O210" s="34"/>
      <c r="P210" s="34"/>
      <c r="Q210" s="70">
        <f t="shared" si="22"/>
        <v>3211124.5</v>
      </c>
      <c r="R210" s="63">
        <v>0</v>
      </c>
      <c r="S210" s="31">
        <v>34150</v>
      </c>
      <c r="T210" s="31">
        <f t="shared" si="23"/>
        <v>25612.5</v>
      </c>
    </row>
    <row r="211" spans="1:20" ht="47.25">
      <c r="A211" s="19">
        <f t="shared" si="24"/>
        <v>9</v>
      </c>
      <c r="B211" s="21" t="s">
        <v>261</v>
      </c>
      <c r="C211" s="59">
        <v>204.26</v>
      </c>
      <c r="D211" s="69">
        <v>45.7</v>
      </c>
      <c r="E211" s="68"/>
      <c r="F211" s="68"/>
      <c r="G211" s="68"/>
      <c r="H211" s="59">
        <v>204.26</v>
      </c>
      <c r="I211" s="70">
        <v>6975479</v>
      </c>
      <c r="J211" s="31">
        <f t="shared" si="21"/>
        <v>34150</v>
      </c>
      <c r="K211" s="34"/>
      <c r="L211" s="34"/>
      <c r="M211" s="34"/>
      <c r="N211" s="34"/>
      <c r="O211" s="34"/>
      <c r="P211" s="34"/>
      <c r="Q211" s="70">
        <f t="shared" si="22"/>
        <v>6975479</v>
      </c>
      <c r="R211" s="63">
        <v>0</v>
      </c>
      <c r="S211" s="31">
        <v>34150</v>
      </c>
      <c r="T211" s="31">
        <f t="shared" si="23"/>
        <v>25612.5</v>
      </c>
    </row>
    <row r="212" spans="1:20" ht="47.25">
      <c r="A212" s="19">
        <f t="shared" si="24"/>
        <v>10</v>
      </c>
      <c r="B212" s="21" t="s">
        <v>262</v>
      </c>
      <c r="C212" s="59">
        <v>460.1</v>
      </c>
      <c r="D212" s="69">
        <v>231.96</v>
      </c>
      <c r="E212" s="68"/>
      <c r="F212" s="68"/>
      <c r="G212" s="68"/>
      <c r="H212" s="59">
        <v>460.1</v>
      </c>
      <c r="I212" s="70">
        <v>15712415</v>
      </c>
      <c r="J212" s="31">
        <f t="shared" si="21"/>
        <v>34150</v>
      </c>
      <c r="K212" s="34"/>
      <c r="L212" s="34"/>
      <c r="M212" s="34"/>
      <c r="N212" s="34"/>
      <c r="O212" s="34"/>
      <c r="P212" s="34"/>
      <c r="Q212" s="70">
        <f t="shared" si="22"/>
        <v>15712415</v>
      </c>
      <c r="R212" s="63">
        <v>0</v>
      </c>
      <c r="S212" s="31">
        <v>34150</v>
      </c>
      <c r="T212" s="31">
        <f t="shared" si="23"/>
        <v>25612.5</v>
      </c>
    </row>
    <row r="213" spans="1:20" ht="47.25">
      <c r="A213" s="19">
        <f t="shared" si="24"/>
        <v>11</v>
      </c>
      <c r="B213" s="21" t="s">
        <v>263</v>
      </c>
      <c r="C213" s="59">
        <v>102.2</v>
      </c>
      <c r="D213" s="69">
        <v>44.23</v>
      </c>
      <c r="E213" s="68"/>
      <c r="F213" s="68"/>
      <c r="G213" s="68"/>
      <c r="H213" s="59">
        <v>102.2</v>
      </c>
      <c r="I213" s="70">
        <v>3490130</v>
      </c>
      <c r="J213" s="31">
        <f t="shared" si="21"/>
        <v>34150</v>
      </c>
      <c r="K213" s="34"/>
      <c r="L213" s="34"/>
      <c r="M213" s="34"/>
      <c r="N213" s="34"/>
      <c r="O213" s="34"/>
      <c r="P213" s="34"/>
      <c r="Q213" s="70">
        <f t="shared" si="22"/>
        <v>3490130</v>
      </c>
      <c r="R213" s="63">
        <v>0</v>
      </c>
      <c r="S213" s="31">
        <v>34150</v>
      </c>
      <c r="T213" s="31">
        <f t="shared" si="23"/>
        <v>25612.5</v>
      </c>
    </row>
    <row r="214" spans="1:20" ht="47.25">
      <c r="A214" s="19">
        <f t="shared" si="24"/>
        <v>12</v>
      </c>
      <c r="B214" s="21" t="s">
        <v>264</v>
      </c>
      <c r="C214" s="59">
        <v>183.43</v>
      </c>
      <c r="D214" s="69">
        <v>130.07</v>
      </c>
      <c r="E214" s="68"/>
      <c r="F214" s="68"/>
      <c r="G214" s="68"/>
      <c r="H214" s="59">
        <v>183.43</v>
      </c>
      <c r="I214" s="70">
        <v>6264134.5</v>
      </c>
      <c r="J214" s="31">
        <f t="shared" si="21"/>
        <v>34150</v>
      </c>
      <c r="K214" s="34"/>
      <c r="L214" s="34"/>
      <c r="M214" s="34"/>
      <c r="N214" s="34"/>
      <c r="O214" s="34"/>
      <c r="P214" s="34"/>
      <c r="Q214" s="70">
        <f t="shared" si="22"/>
        <v>6264134.5</v>
      </c>
      <c r="R214" s="63">
        <v>0</v>
      </c>
      <c r="S214" s="31">
        <v>34150</v>
      </c>
      <c r="T214" s="31">
        <f t="shared" si="23"/>
        <v>25612.5</v>
      </c>
    </row>
    <row r="215" spans="1:20" ht="47.25">
      <c r="A215" s="19">
        <f t="shared" si="24"/>
        <v>13</v>
      </c>
      <c r="B215" s="21" t="s">
        <v>265</v>
      </c>
      <c r="C215" s="59">
        <v>69.6</v>
      </c>
      <c r="D215" s="69">
        <v>32.3</v>
      </c>
      <c r="E215" s="68"/>
      <c r="F215" s="68"/>
      <c r="G215" s="68"/>
      <c r="H215" s="59">
        <v>69.6</v>
      </c>
      <c r="I215" s="70">
        <v>2376840</v>
      </c>
      <c r="J215" s="31">
        <f t="shared" si="21"/>
        <v>34150</v>
      </c>
      <c r="K215" s="34"/>
      <c r="L215" s="34"/>
      <c r="M215" s="34"/>
      <c r="N215" s="34"/>
      <c r="O215" s="34"/>
      <c r="P215" s="34"/>
      <c r="Q215" s="70">
        <f t="shared" si="22"/>
        <v>2376840</v>
      </c>
      <c r="R215" s="63">
        <v>0</v>
      </c>
      <c r="S215" s="31">
        <v>34150</v>
      </c>
      <c r="T215" s="31">
        <f t="shared" si="23"/>
        <v>25612.5</v>
      </c>
    </row>
    <row r="216" spans="1:20" ht="47.25">
      <c r="A216" s="19">
        <f t="shared" si="24"/>
        <v>14</v>
      </c>
      <c r="B216" s="21" t="s">
        <v>266</v>
      </c>
      <c r="C216" s="59">
        <v>216.35</v>
      </c>
      <c r="D216" s="69">
        <v>112.93</v>
      </c>
      <c r="E216" s="68"/>
      <c r="F216" s="68"/>
      <c r="G216" s="68"/>
      <c r="H216" s="59">
        <v>216.35</v>
      </c>
      <c r="I216" s="70">
        <v>7388352.5</v>
      </c>
      <c r="J216" s="31">
        <f t="shared" si="21"/>
        <v>34150</v>
      </c>
      <c r="K216" s="34"/>
      <c r="L216" s="34"/>
      <c r="M216" s="34"/>
      <c r="N216" s="34"/>
      <c r="O216" s="34"/>
      <c r="P216" s="34"/>
      <c r="Q216" s="70">
        <f t="shared" si="22"/>
        <v>7388352.5</v>
      </c>
      <c r="R216" s="63">
        <v>0</v>
      </c>
      <c r="S216" s="31">
        <v>34150</v>
      </c>
      <c r="T216" s="31">
        <f t="shared" si="23"/>
        <v>25612.5</v>
      </c>
    </row>
    <row r="217" spans="1:20" ht="47.25">
      <c r="A217" s="19">
        <f t="shared" si="24"/>
        <v>15</v>
      </c>
      <c r="B217" s="21" t="s">
        <v>267</v>
      </c>
      <c r="C217" s="59">
        <v>224.07</v>
      </c>
      <c r="D217" s="69">
        <v>124.47</v>
      </c>
      <c r="E217" s="68"/>
      <c r="F217" s="68"/>
      <c r="G217" s="68"/>
      <c r="H217" s="59">
        <v>224.07</v>
      </c>
      <c r="I217" s="70">
        <v>7651990.5</v>
      </c>
      <c r="J217" s="31">
        <f t="shared" si="21"/>
        <v>34150</v>
      </c>
      <c r="K217" s="34"/>
      <c r="L217" s="34"/>
      <c r="M217" s="34"/>
      <c r="N217" s="34"/>
      <c r="O217" s="34"/>
      <c r="P217" s="34"/>
      <c r="Q217" s="70">
        <f t="shared" si="22"/>
        <v>7651990.5</v>
      </c>
      <c r="R217" s="63">
        <v>0</v>
      </c>
      <c r="S217" s="31">
        <v>34150</v>
      </c>
      <c r="T217" s="31">
        <f t="shared" si="23"/>
        <v>25612.5</v>
      </c>
    </row>
    <row r="218" spans="1:20" ht="47.25">
      <c r="A218" s="19">
        <f t="shared" si="24"/>
        <v>16</v>
      </c>
      <c r="B218" s="21" t="s">
        <v>268</v>
      </c>
      <c r="C218" s="59">
        <v>107.24</v>
      </c>
      <c r="D218" s="69">
        <v>54</v>
      </c>
      <c r="E218" s="68"/>
      <c r="F218" s="68"/>
      <c r="G218" s="68"/>
      <c r="H218" s="59">
        <v>107.24</v>
      </c>
      <c r="I218" s="70">
        <v>3662246</v>
      </c>
      <c r="J218" s="31">
        <f t="shared" si="21"/>
        <v>34150</v>
      </c>
      <c r="K218" s="34"/>
      <c r="L218" s="34"/>
      <c r="M218" s="34"/>
      <c r="N218" s="34"/>
      <c r="O218" s="34"/>
      <c r="P218" s="34"/>
      <c r="Q218" s="70">
        <f t="shared" si="22"/>
        <v>3662246</v>
      </c>
      <c r="R218" s="63">
        <v>0</v>
      </c>
      <c r="S218" s="31">
        <v>34150</v>
      </c>
      <c r="T218" s="31">
        <f t="shared" si="23"/>
        <v>25612.5</v>
      </c>
    </row>
    <row r="219" spans="1:20" ht="47.25">
      <c r="A219" s="19">
        <f t="shared" si="24"/>
        <v>17</v>
      </c>
      <c r="B219" s="21" t="s">
        <v>269</v>
      </c>
      <c r="C219" s="59">
        <v>152.9</v>
      </c>
      <c r="D219" s="69">
        <v>63.7</v>
      </c>
      <c r="E219" s="68"/>
      <c r="F219" s="68"/>
      <c r="G219" s="68"/>
      <c r="H219" s="59">
        <v>152.9</v>
      </c>
      <c r="I219" s="70">
        <v>5221535</v>
      </c>
      <c r="J219" s="31">
        <f t="shared" si="21"/>
        <v>34150</v>
      </c>
      <c r="K219" s="34"/>
      <c r="L219" s="34"/>
      <c r="M219" s="34"/>
      <c r="N219" s="34"/>
      <c r="O219" s="34"/>
      <c r="P219" s="34"/>
      <c r="Q219" s="70">
        <f t="shared" si="22"/>
        <v>5221535</v>
      </c>
      <c r="R219" s="63">
        <v>0</v>
      </c>
      <c r="S219" s="31">
        <v>34150</v>
      </c>
      <c r="T219" s="31">
        <f t="shared" si="23"/>
        <v>25612.5</v>
      </c>
    </row>
    <row r="220" spans="1:20" ht="63">
      <c r="A220" s="19">
        <f t="shared" si="24"/>
        <v>18</v>
      </c>
      <c r="B220" s="21" t="s">
        <v>709</v>
      </c>
      <c r="C220" s="59">
        <v>199.4</v>
      </c>
      <c r="D220" s="69">
        <v>52.1</v>
      </c>
      <c r="E220" s="34"/>
      <c r="F220" s="34"/>
      <c r="G220" s="34"/>
      <c r="H220" s="59">
        <v>199.4</v>
      </c>
      <c r="I220" s="70">
        <v>6809510</v>
      </c>
      <c r="J220" s="31">
        <f t="shared" si="21"/>
        <v>34150</v>
      </c>
      <c r="K220" s="32"/>
      <c r="L220" s="34"/>
      <c r="M220" s="34"/>
      <c r="N220" s="34"/>
      <c r="O220" s="32"/>
      <c r="P220" s="32"/>
      <c r="Q220" s="70">
        <f t="shared" si="22"/>
        <v>6809510</v>
      </c>
      <c r="R220" s="63">
        <v>0</v>
      </c>
      <c r="S220" s="31">
        <v>34150</v>
      </c>
      <c r="T220" s="31">
        <f t="shared" si="23"/>
        <v>25612.5</v>
      </c>
    </row>
    <row r="221" spans="1:20" ht="47.25">
      <c r="A221" s="19">
        <f t="shared" si="24"/>
        <v>19</v>
      </c>
      <c r="B221" s="21" t="s">
        <v>271</v>
      </c>
      <c r="C221" s="59">
        <v>69.5</v>
      </c>
      <c r="D221" s="69">
        <v>69.5</v>
      </c>
      <c r="E221" s="34"/>
      <c r="F221" s="34"/>
      <c r="G221" s="34"/>
      <c r="H221" s="59">
        <v>69.5</v>
      </c>
      <c r="I221" s="70">
        <v>2373425</v>
      </c>
      <c r="J221" s="31">
        <f t="shared" si="21"/>
        <v>34150</v>
      </c>
      <c r="K221" s="34"/>
      <c r="L221" s="34"/>
      <c r="M221" s="34"/>
      <c r="N221" s="34"/>
      <c r="O221" s="34"/>
      <c r="P221" s="34"/>
      <c r="Q221" s="70">
        <f t="shared" si="22"/>
        <v>2373425</v>
      </c>
      <c r="R221" s="63">
        <v>0</v>
      </c>
      <c r="S221" s="31">
        <v>34150</v>
      </c>
      <c r="T221" s="31">
        <f t="shared" si="23"/>
        <v>25612.5</v>
      </c>
    </row>
    <row r="222" spans="1:20" ht="47.25">
      <c r="A222" s="19">
        <f t="shared" si="24"/>
        <v>20</v>
      </c>
      <c r="B222" s="21" t="s">
        <v>700</v>
      </c>
      <c r="C222" s="59">
        <v>94</v>
      </c>
      <c r="D222" s="69">
        <v>0</v>
      </c>
      <c r="E222" s="34"/>
      <c r="F222" s="34"/>
      <c r="G222" s="34"/>
      <c r="H222" s="59">
        <v>94</v>
      </c>
      <c r="I222" s="70">
        <v>3210100</v>
      </c>
      <c r="J222" s="31">
        <f t="shared" si="21"/>
        <v>34150</v>
      </c>
      <c r="K222" s="34"/>
      <c r="L222" s="34"/>
      <c r="M222" s="34"/>
      <c r="N222" s="34"/>
      <c r="O222" s="34"/>
      <c r="P222" s="34"/>
      <c r="Q222" s="70">
        <f t="shared" si="22"/>
        <v>3210100</v>
      </c>
      <c r="R222" s="63">
        <v>0</v>
      </c>
      <c r="S222" s="31">
        <v>34150</v>
      </c>
      <c r="T222" s="31">
        <f t="shared" si="23"/>
        <v>25612.5</v>
      </c>
    </row>
    <row r="223" spans="1:20" ht="31.5">
      <c r="A223" s="19">
        <f t="shared" si="24"/>
        <v>21</v>
      </c>
      <c r="B223" s="21" t="s">
        <v>273</v>
      </c>
      <c r="C223" s="59">
        <v>118.35</v>
      </c>
      <c r="D223" s="69">
        <v>36.17</v>
      </c>
      <c r="E223" s="34"/>
      <c r="F223" s="34"/>
      <c r="G223" s="34"/>
      <c r="H223" s="59">
        <v>118.35</v>
      </c>
      <c r="I223" s="70">
        <v>4041652.5</v>
      </c>
      <c r="J223" s="31">
        <f t="shared" si="21"/>
        <v>34150</v>
      </c>
      <c r="K223" s="34"/>
      <c r="L223" s="34"/>
      <c r="M223" s="34"/>
      <c r="N223" s="34"/>
      <c r="O223" s="34"/>
      <c r="P223" s="34"/>
      <c r="Q223" s="70">
        <f t="shared" si="22"/>
        <v>4041652.5</v>
      </c>
      <c r="R223" s="63">
        <v>0</v>
      </c>
      <c r="S223" s="31">
        <v>34150</v>
      </c>
      <c r="T223" s="31">
        <f t="shared" si="23"/>
        <v>25612.5</v>
      </c>
    </row>
    <row r="224" spans="1:20" ht="47.25">
      <c r="A224" s="19">
        <f t="shared" si="24"/>
        <v>22</v>
      </c>
      <c r="B224" s="21" t="s">
        <v>274</v>
      </c>
      <c r="C224" s="59">
        <v>43.2</v>
      </c>
      <c r="D224" s="69">
        <v>0</v>
      </c>
      <c r="E224" s="34"/>
      <c r="F224" s="34"/>
      <c r="G224" s="34"/>
      <c r="H224" s="59">
        <v>43.2</v>
      </c>
      <c r="I224" s="70">
        <v>1475280</v>
      </c>
      <c r="J224" s="31">
        <f t="shared" si="21"/>
        <v>34150</v>
      </c>
      <c r="K224" s="34"/>
      <c r="L224" s="34"/>
      <c r="M224" s="34"/>
      <c r="N224" s="34"/>
      <c r="O224" s="34"/>
      <c r="P224" s="34"/>
      <c r="Q224" s="70">
        <f t="shared" si="22"/>
        <v>1475280</v>
      </c>
      <c r="R224" s="63">
        <v>0</v>
      </c>
      <c r="S224" s="31">
        <v>34150</v>
      </c>
      <c r="T224" s="31">
        <f t="shared" si="23"/>
        <v>25612.5</v>
      </c>
    </row>
    <row r="225" spans="1:20" ht="15.75">
      <c r="A225" s="180" t="s">
        <v>615</v>
      </c>
      <c r="B225" s="180"/>
      <c r="C225" s="31">
        <v>4170.9</v>
      </c>
      <c r="D225" s="69">
        <v>2608.1</v>
      </c>
      <c r="E225" s="34"/>
      <c r="F225" s="34"/>
      <c r="G225" s="34"/>
      <c r="H225" s="31">
        <v>4170.9</v>
      </c>
      <c r="I225" s="63">
        <v>142436235</v>
      </c>
      <c r="J225" s="31">
        <f t="shared" si="21"/>
        <v>34150</v>
      </c>
      <c r="K225" s="34"/>
      <c r="L225" s="34"/>
      <c r="M225" s="34"/>
      <c r="N225" s="34"/>
      <c r="O225" s="34"/>
      <c r="P225" s="34"/>
      <c r="Q225" s="70">
        <f t="shared" si="22"/>
        <v>142436235</v>
      </c>
      <c r="R225" s="63">
        <v>0</v>
      </c>
      <c r="S225" s="31">
        <v>34150</v>
      </c>
      <c r="T225" s="31">
        <f t="shared" si="23"/>
        <v>25612.5</v>
      </c>
    </row>
    <row r="226" spans="1:20" ht="31.5">
      <c r="A226" s="32">
        <v>23</v>
      </c>
      <c r="B226" s="36" t="s">
        <v>275</v>
      </c>
      <c r="C226" s="31">
        <v>732.6</v>
      </c>
      <c r="D226" s="69">
        <v>435.5</v>
      </c>
      <c r="E226" s="34"/>
      <c r="F226" s="34"/>
      <c r="G226" s="34"/>
      <c r="H226" s="31">
        <v>732.6</v>
      </c>
      <c r="I226" s="63">
        <v>25018290</v>
      </c>
      <c r="J226" s="31">
        <f t="shared" si="21"/>
        <v>34150</v>
      </c>
      <c r="K226" s="34"/>
      <c r="L226" s="34"/>
      <c r="M226" s="34"/>
      <c r="N226" s="34"/>
      <c r="O226" s="34"/>
      <c r="P226" s="34"/>
      <c r="Q226" s="70">
        <f t="shared" si="22"/>
        <v>25018290</v>
      </c>
      <c r="R226" s="63">
        <v>0</v>
      </c>
      <c r="S226" s="31">
        <v>34150</v>
      </c>
      <c r="T226" s="31">
        <f t="shared" si="23"/>
        <v>25612.5</v>
      </c>
    </row>
    <row r="227" spans="1:20" ht="31.5">
      <c r="A227" s="32">
        <f>A226+1</f>
        <v>24</v>
      </c>
      <c r="B227" s="36" t="s">
        <v>276</v>
      </c>
      <c r="C227" s="31">
        <v>176</v>
      </c>
      <c r="D227" s="69">
        <v>85.5</v>
      </c>
      <c r="E227" s="34"/>
      <c r="F227" s="34"/>
      <c r="G227" s="34"/>
      <c r="H227" s="31">
        <v>176</v>
      </c>
      <c r="I227" s="63">
        <v>6010400</v>
      </c>
      <c r="J227" s="31">
        <f t="shared" si="21"/>
        <v>34150</v>
      </c>
      <c r="K227" s="34"/>
      <c r="L227" s="34"/>
      <c r="M227" s="34"/>
      <c r="N227" s="34"/>
      <c r="O227" s="34"/>
      <c r="P227" s="34"/>
      <c r="Q227" s="70">
        <f t="shared" si="22"/>
        <v>6010400</v>
      </c>
      <c r="R227" s="63">
        <v>0</v>
      </c>
      <c r="S227" s="31">
        <v>34150</v>
      </c>
      <c r="T227" s="31">
        <f t="shared" si="23"/>
        <v>25612.5</v>
      </c>
    </row>
    <row r="228" spans="1:20" ht="31.5">
      <c r="A228" s="32">
        <f aca="true" t="shared" si="25" ref="A228:A237">A227+1</f>
        <v>25</v>
      </c>
      <c r="B228" s="36" t="s">
        <v>277</v>
      </c>
      <c r="C228" s="31">
        <v>54.6</v>
      </c>
      <c r="D228" s="69">
        <v>0</v>
      </c>
      <c r="E228" s="34"/>
      <c r="F228" s="34"/>
      <c r="G228" s="34"/>
      <c r="H228" s="31">
        <v>54.6</v>
      </c>
      <c r="I228" s="63">
        <v>1864590</v>
      </c>
      <c r="J228" s="31">
        <f t="shared" si="21"/>
        <v>34150</v>
      </c>
      <c r="K228" s="34"/>
      <c r="L228" s="34"/>
      <c r="M228" s="34"/>
      <c r="N228" s="34"/>
      <c r="O228" s="34"/>
      <c r="P228" s="34"/>
      <c r="Q228" s="70">
        <f t="shared" si="22"/>
        <v>1864590</v>
      </c>
      <c r="R228" s="63">
        <v>0</v>
      </c>
      <c r="S228" s="31">
        <v>34150</v>
      </c>
      <c r="T228" s="31">
        <f t="shared" si="23"/>
        <v>25612.5</v>
      </c>
    </row>
    <row r="229" spans="1:20" ht="31.5">
      <c r="A229" s="32">
        <f t="shared" si="25"/>
        <v>26</v>
      </c>
      <c r="B229" s="36" t="s">
        <v>278</v>
      </c>
      <c r="C229" s="31">
        <v>81.4</v>
      </c>
      <c r="D229" s="69">
        <v>26.9</v>
      </c>
      <c r="E229" s="34"/>
      <c r="F229" s="34"/>
      <c r="G229" s="34"/>
      <c r="H229" s="31">
        <v>81.4</v>
      </c>
      <c r="I229" s="63">
        <v>2779810</v>
      </c>
      <c r="J229" s="31">
        <f t="shared" si="21"/>
        <v>34150</v>
      </c>
      <c r="K229" s="34"/>
      <c r="L229" s="34"/>
      <c r="M229" s="34"/>
      <c r="N229" s="34"/>
      <c r="O229" s="34"/>
      <c r="P229" s="34"/>
      <c r="Q229" s="70">
        <f t="shared" si="22"/>
        <v>2779810</v>
      </c>
      <c r="R229" s="63">
        <v>0</v>
      </c>
      <c r="S229" s="31">
        <v>34150</v>
      </c>
      <c r="T229" s="31">
        <f t="shared" si="23"/>
        <v>25612.5</v>
      </c>
    </row>
    <row r="230" spans="1:20" ht="31.5">
      <c r="A230" s="32">
        <f t="shared" si="25"/>
        <v>27</v>
      </c>
      <c r="B230" s="36" t="s">
        <v>279</v>
      </c>
      <c r="C230" s="31">
        <v>106.9</v>
      </c>
      <c r="D230" s="69">
        <v>0</v>
      </c>
      <c r="E230" s="34"/>
      <c r="F230" s="34"/>
      <c r="G230" s="34"/>
      <c r="H230" s="31">
        <v>106.9</v>
      </c>
      <c r="I230" s="63">
        <v>3650635</v>
      </c>
      <c r="J230" s="31">
        <f t="shared" si="21"/>
        <v>34150</v>
      </c>
      <c r="K230" s="34"/>
      <c r="L230" s="34"/>
      <c r="M230" s="34"/>
      <c r="N230" s="34"/>
      <c r="O230" s="34"/>
      <c r="P230" s="34"/>
      <c r="Q230" s="70">
        <f t="shared" si="22"/>
        <v>3650635</v>
      </c>
      <c r="R230" s="63">
        <v>0</v>
      </c>
      <c r="S230" s="31">
        <v>34150</v>
      </c>
      <c r="T230" s="31">
        <f t="shared" si="23"/>
        <v>25612.5</v>
      </c>
    </row>
    <row r="231" spans="1:20" ht="31.5">
      <c r="A231" s="32">
        <f t="shared" si="25"/>
        <v>28</v>
      </c>
      <c r="B231" s="36" t="s">
        <v>280</v>
      </c>
      <c r="C231" s="31">
        <v>616.6</v>
      </c>
      <c r="D231" s="69">
        <v>453.5</v>
      </c>
      <c r="E231" s="34"/>
      <c r="F231" s="34"/>
      <c r="G231" s="34"/>
      <c r="H231" s="31">
        <v>616.6</v>
      </c>
      <c r="I231" s="63">
        <v>21056890</v>
      </c>
      <c r="J231" s="31">
        <f t="shared" si="21"/>
        <v>34150</v>
      </c>
      <c r="K231" s="34"/>
      <c r="L231" s="34"/>
      <c r="M231" s="34"/>
      <c r="N231" s="34"/>
      <c r="O231" s="34"/>
      <c r="P231" s="34"/>
      <c r="Q231" s="70">
        <f t="shared" si="22"/>
        <v>21056890</v>
      </c>
      <c r="R231" s="63">
        <v>0</v>
      </c>
      <c r="S231" s="31">
        <v>34150</v>
      </c>
      <c r="T231" s="31">
        <f t="shared" si="23"/>
        <v>25612.5</v>
      </c>
    </row>
    <row r="232" spans="1:20" ht="31.5">
      <c r="A232" s="32">
        <f t="shared" si="25"/>
        <v>29</v>
      </c>
      <c r="B232" s="36" t="s">
        <v>281</v>
      </c>
      <c r="C232" s="31">
        <v>611.7</v>
      </c>
      <c r="D232" s="69">
        <v>483.4</v>
      </c>
      <c r="E232" s="34"/>
      <c r="F232" s="34"/>
      <c r="G232" s="34"/>
      <c r="H232" s="31">
        <v>611.7</v>
      </c>
      <c r="I232" s="63">
        <v>20889555</v>
      </c>
      <c r="J232" s="31">
        <f t="shared" si="21"/>
        <v>34150</v>
      </c>
      <c r="K232" s="34"/>
      <c r="L232" s="34"/>
      <c r="M232" s="34"/>
      <c r="N232" s="34"/>
      <c r="O232" s="34"/>
      <c r="P232" s="34"/>
      <c r="Q232" s="70">
        <f t="shared" si="22"/>
        <v>20889555</v>
      </c>
      <c r="R232" s="63">
        <v>0</v>
      </c>
      <c r="S232" s="31">
        <v>34150</v>
      </c>
      <c r="T232" s="31">
        <f t="shared" si="23"/>
        <v>25612.5</v>
      </c>
    </row>
    <row r="233" spans="1:20" ht="31.5">
      <c r="A233" s="32">
        <f t="shared" si="25"/>
        <v>30</v>
      </c>
      <c r="B233" s="36" t="s">
        <v>282</v>
      </c>
      <c r="C233" s="31">
        <v>751.1</v>
      </c>
      <c r="D233" s="69">
        <v>557.9</v>
      </c>
      <c r="E233" s="34"/>
      <c r="F233" s="34"/>
      <c r="G233" s="34"/>
      <c r="H233" s="31">
        <v>751.1</v>
      </c>
      <c r="I233" s="63">
        <v>25650064.999999996</v>
      </c>
      <c r="J233" s="31">
        <f t="shared" si="21"/>
        <v>34149.99999999999</v>
      </c>
      <c r="K233" s="34"/>
      <c r="L233" s="34"/>
      <c r="M233" s="34"/>
      <c r="N233" s="34"/>
      <c r="O233" s="34"/>
      <c r="P233" s="34"/>
      <c r="Q233" s="70">
        <f t="shared" si="22"/>
        <v>25650064.999999996</v>
      </c>
      <c r="R233" s="60">
        <v>0</v>
      </c>
      <c r="S233" s="31">
        <v>34150</v>
      </c>
      <c r="T233" s="31">
        <f t="shared" si="23"/>
        <v>25612.5</v>
      </c>
    </row>
    <row r="234" spans="1:20" ht="31.5">
      <c r="A234" s="32">
        <f t="shared" si="25"/>
        <v>31</v>
      </c>
      <c r="B234" s="36" t="s">
        <v>283</v>
      </c>
      <c r="C234" s="31">
        <v>348.7</v>
      </c>
      <c r="D234" s="69">
        <v>251.4</v>
      </c>
      <c r="E234" s="34"/>
      <c r="F234" s="34"/>
      <c r="G234" s="34"/>
      <c r="H234" s="31">
        <v>348.7</v>
      </c>
      <c r="I234" s="63">
        <v>11908105</v>
      </c>
      <c r="J234" s="31">
        <f t="shared" si="21"/>
        <v>34150</v>
      </c>
      <c r="K234" s="34"/>
      <c r="L234" s="34"/>
      <c r="M234" s="34"/>
      <c r="N234" s="34"/>
      <c r="O234" s="34"/>
      <c r="P234" s="34"/>
      <c r="Q234" s="70">
        <f t="shared" si="22"/>
        <v>11908105</v>
      </c>
      <c r="R234" s="63">
        <v>0</v>
      </c>
      <c r="S234" s="31">
        <v>34150</v>
      </c>
      <c r="T234" s="31">
        <f t="shared" si="23"/>
        <v>25612.5</v>
      </c>
    </row>
    <row r="235" spans="1:20" ht="31.5">
      <c r="A235" s="32">
        <f t="shared" si="25"/>
        <v>32</v>
      </c>
      <c r="B235" s="36" t="s">
        <v>284</v>
      </c>
      <c r="C235" s="31">
        <v>175.9</v>
      </c>
      <c r="D235" s="69">
        <v>129.9</v>
      </c>
      <c r="E235" s="34"/>
      <c r="F235" s="34"/>
      <c r="G235" s="34"/>
      <c r="H235" s="31">
        <v>175.9</v>
      </c>
      <c r="I235" s="63">
        <v>6006985</v>
      </c>
      <c r="J235" s="31">
        <f t="shared" si="21"/>
        <v>34150</v>
      </c>
      <c r="K235" s="34"/>
      <c r="L235" s="34"/>
      <c r="M235" s="34"/>
      <c r="N235" s="34"/>
      <c r="O235" s="34"/>
      <c r="P235" s="34"/>
      <c r="Q235" s="70">
        <f t="shared" si="22"/>
        <v>6006985</v>
      </c>
      <c r="R235" s="63">
        <v>0</v>
      </c>
      <c r="S235" s="31">
        <v>34150</v>
      </c>
      <c r="T235" s="31">
        <f t="shared" si="23"/>
        <v>25612.5</v>
      </c>
    </row>
    <row r="236" spans="1:20" ht="31.5">
      <c r="A236" s="32">
        <f t="shared" si="25"/>
        <v>33</v>
      </c>
      <c r="B236" s="36" t="s">
        <v>285</v>
      </c>
      <c r="C236" s="31">
        <v>194.3</v>
      </c>
      <c r="D236" s="69">
        <v>0</v>
      </c>
      <c r="E236" s="34"/>
      <c r="F236" s="34"/>
      <c r="G236" s="34"/>
      <c r="H236" s="31">
        <v>194.3</v>
      </c>
      <c r="I236" s="63">
        <v>6635345</v>
      </c>
      <c r="J236" s="31">
        <f t="shared" si="21"/>
        <v>34150</v>
      </c>
      <c r="K236" s="34"/>
      <c r="L236" s="34"/>
      <c r="M236" s="34"/>
      <c r="N236" s="34"/>
      <c r="O236" s="34"/>
      <c r="P236" s="34"/>
      <c r="Q236" s="70">
        <f t="shared" si="22"/>
        <v>6635345</v>
      </c>
      <c r="R236" s="63">
        <v>0</v>
      </c>
      <c r="S236" s="31">
        <v>34150</v>
      </c>
      <c r="T236" s="31">
        <f t="shared" si="23"/>
        <v>25612.5</v>
      </c>
    </row>
    <row r="237" spans="1:20" ht="31.5">
      <c r="A237" s="32">
        <f t="shared" si="25"/>
        <v>34</v>
      </c>
      <c r="B237" s="36" t="s">
        <v>286</v>
      </c>
      <c r="C237" s="31">
        <v>321.1</v>
      </c>
      <c r="D237" s="69">
        <v>184.1</v>
      </c>
      <c r="E237" s="34"/>
      <c r="F237" s="34"/>
      <c r="G237" s="34"/>
      <c r="H237" s="31">
        <v>321.1</v>
      </c>
      <c r="I237" s="63">
        <v>10965565</v>
      </c>
      <c r="J237" s="31">
        <f t="shared" si="21"/>
        <v>34150</v>
      </c>
      <c r="K237" s="34"/>
      <c r="L237" s="34"/>
      <c r="M237" s="34"/>
      <c r="N237" s="34"/>
      <c r="O237" s="34"/>
      <c r="P237" s="34"/>
      <c r="Q237" s="70">
        <f t="shared" si="22"/>
        <v>10965565</v>
      </c>
      <c r="R237" s="63">
        <v>0</v>
      </c>
      <c r="S237" s="31">
        <v>34150</v>
      </c>
      <c r="T237" s="31">
        <f t="shared" si="23"/>
        <v>25612.5</v>
      </c>
    </row>
    <row r="238" spans="1:20" ht="15.75">
      <c r="A238" s="181" t="s">
        <v>297</v>
      </c>
      <c r="B238" s="181"/>
      <c r="C238" s="58">
        <v>1176.2</v>
      </c>
      <c r="D238" s="69">
        <v>741.8</v>
      </c>
      <c r="E238" s="34"/>
      <c r="F238" s="34"/>
      <c r="G238" s="34"/>
      <c r="H238" s="58">
        <v>1176.2</v>
      </c>
      <c r="I238" s="65">
        <v>40167230</v>
      </c>
      <c r="J238" s="31">
        <f t="shared" si="21"/>
        <v>34150</v>
      </c>
      <c r="K238" s="34"/>
      <c r="L238" s="34"/>
      <c r="M238" s="34"/>
      <c r="N238" s="34"/>
      <c r="O238" s="34"/>
      <c r="P238" s="34"/>
      <c r="Q238" s="70">
        <f t="shared" si="22"/>
        <v>40167230</v>
      </c>
      <c r="R238" s="63">
        <v>1366000</v>
      </c>
      <c r="S238" s="31">
        <v>34150</v>
      </c>
      <c r="T238" s="31">
        <f t="shared" si="23"/>
        <v>25612.5</v>
      </c>
    </row>
    <row r="239" spans="1:20" ht="31.5">
      <c r="A239" s="39">
        <v>35</v>
      </c>
      <c r="B239" s="36" t="s">
        <v>287</v>
      </c>
      <c r="C239" s="59">
        <v>55.6</v>
      </c>
      <c r="D239" s="69">
        <v>28.2</v>
      </c>
      <c r="E239" s="34"/>
      <c r="F239" s="34"/>
      <c r="G239" s="34"/>
      <c r="H239" s="59">
        <v>55.6</v>
      </c>
      <c r="I239" s="65">
        <v>1898740</v>
      </c>
      <c r="J239" s="31">
        <f t="shared" si="21"/>
        <v>34150</v>
      </c>
      <c r="K239" s="34"/>
      <c r="L239" s="34"/>
      <c r="M239" s="34"/>
      <c r="N239" s="34"/>
      <c r="O239" s="34"/>
      <c r="P239" s="34"/>
      <c r="Q239" s="70">
        <f t="shared" si="22"/>
        <v>1898740</v>
      </c>
      <c r="R239" s="63">
        <v>0</v>
      </c>
      <c r="S239" s="31">
        <v>34150</v>
      </c>
      <c r="T239" s="31">
        <f t="shared" si="23"/>
        <v>25612.5</v>
      </c>
    </row>
    <row r="240" spans="1:20" ht="47.25">
      <c r="A240" s="37">
        <f>A239+1</f>
        <v>36</v>
      </c>
      <c r="B240" s="36" t="s">
        <v>288</v>
      </c>
      <c r="C240" s="73">
        <v>115.4</v>
      </c>
      <c r="D240" s="69">
        <v>115.4</v>
      </c>
      <c r="E240" s="34"/>
      <c r="F240" s="34"/>
      <c r="G240" s="34"/>
      <c r="H240" s="73">
        <v>115.4</v>
      </c>
      <c r="I240" s="63">
        <v>3940910</v>
      </c>
      <c r="J240" s="31">
        <f t="shared" si="21"/>
        <v>34150</v>
      </c>
      <c r="K240" s="34"/>
      <c r="L240" s="34"/>
      <c r="M240" s="34"/>
      <c r="N240" s="34"/>
      <c r="O240" s="34"/>
      <c r="P240" s="34"/>
      <c r="Q240" s="70">
        <f t="shared" si="22"/>
        <v>3940910</v>
      </c>
      <c r="R240" s="63">
        <v>0</v>
      </c>
      <c r="S240" s="31">
        <v>34150</v>
      </c>
      <c r="T240" s="31">
        <f t="shared" si="23"/>
        <v>25612.5</v>
      </c>
    </row>
    <row r="241" spans="1:20" ht="47.25">
      <c r="A241" s="37">
        <f aca="true" t="shared" si="26" ref="A241:A248">A240+1</f>
        <v>37</v>
      </c>
      <c r="B241" s="36" t="s">
        <v>289</v>
      </c>
      <c r="C241" s="82">
        <v>76.1</v>
      </c>
      <c r="D241" s="69">
        <v>76.1</v>
      </c>
      <c r="E241" s="34"/>
      <c r="F241" s="34"/>
      <c r="G241" s="34"/>
      <c r="H241" s="82">
        <v>76.1</v>
      </c>
      <c r="I241" s="63">
        <v>2598815</v>
      </c>
      <c r="J241" s="31">
        <f t="shared" si="21"/>
        <v>34150</v>
      </c>
      <c r="K241" s="34"/>
      <c r="L241" s="34"/>
      <c r="M241" s="34"/>
      <c r="N241" s="34"/>
      <c r="O241" s="34"/>
      <c r="P241" s="34"/>
      <c r="Q241" s="70">
        <f t="shared" si="22"/>
        <v>2598815</v>
      </c>
      <c r="R241" s="63">
        <v>826430</v>
      </c>
      <c r="S241" s="31">
        <v>34150</v>
      </c>
      <c r="T241" s="31">
        <f t="shared" si="23"/>
        <v>25612.5</v>
      </c>
    </row>
    <row r="242" spans="1:20" ht="31.5">
      <c r="A242" s="37">
        <f t="shared" si="26"/>
        <v>38</v>
      </c>
      <c r="B242" s="36" t="s">
        <v>290</v>
      </c>
      <c r="C242" s="82">
        <v>156</v>
      </c>
      <c r="D242" s="69">
        <v>78.2</v>
      </c>
      <c r="E242" s="34"/>
      <c r="F242" s="34"/>
      <c r="G242" s="34"/>
      <c r="H242" s="82">
        <v>156</v>
      </c>
      <c r="I242" s="63">
        <v>5327400</v>
      </c>
      <c r="J242" s="31">
        <f t="shared" si="21"/>
        <v>34150</v>
      </c>
      <c r="K242" s="34"/>
      <c r="L242" s="34"/>
      <c r="M242" s="34"/>
      <c r="N242" s="34"/>
      <c r="O242" s="34"/>
      <c r="P242" s="34"/>
      <c r="Q242" s="70">
        <f t="shared" si="22"/>
        <v>5327400</v>
      </c>
      <c r="R242" s="63">
        <v>515665</v>
      </c>
      <c r="S242" s="31">
        <v>34150</v>
      </c>
      <c r="T242" s="31">
        <f t="shared" si="23"/>
        <v>25612.5</v>
      </c>
    </row>
    <row r="243" spans="1:20" ht="47.25">
      <c r="A243" s="37">
        <f t="shared" si="26"/>
        <v>39</v>
      </c>
      <c r="B243" s="36" t="s">
        <v>291</v>
      </c>
      <c r="C243" s="82">
        <v>103.8</v>
      </c>
      <c r="D243" s="69">
        <v>50.8</v>
      </c>
      <c r="E243" s="34"/>
      <c r="F243" s="34"/>
      <c r="G243" s="34"/>
      <c r="H243" s="82">
        <v>103.8</v>
      </c>
      <c r="I243" s="63">
        <v>3544770</v>
      </c>
      <c r="J243" s="31">
        <f t="shared" si="21"/>
        <v>34150</v>
      </c>
      <c r="K243" s="34"/>
      <c r="L243" s="34"/>
      <c r="M243" s="34"/>
      <c r="N243" s="34"/>
      <c r="O243" s="34"/>
      <c r="P243" s="34"/>
      <c r="Q243" s="70">
        <f t="shared" si="22"/>
        <v>3544770</v>
      </c>
      <c r="R243" s="63">
        <v>0</v>
      </c>
      <c r="S243" s="31">
        <v>34150</v>
      </c>
      <c r="T243" s="31">
        <f t="shared" si="23"/>
        <v>25612.5</v>
      </c>
    </row>
    <row r="244" spans="1:20" ht="47.25">
      <c r="A244" s="37">
        <f t="shared" si="26"/>
        <v>40</v>
      </c>
      <c r="B244" s="36" t="s">
        <v>292</v>
      </c>
      <c r="C244" s="73">
        <v>82</v>
      </c>
      <c r="D244" s="69">
        <v>82</v>
      </c>
      <c r="E244" s="32"/>
      <c r="F244" s="32"/>
      <c r="G244" s="32"/>
      <c r="H244" s="73">
        <v>82</v>
      </c>
      <c r="I244" s="63">
        <v>2800300</v>
      </c>
      <c r="J244" s="31">
        <f t="shared" si="21"/>
        <v>34150</v>
      </c>
      <c r="K244" s="32"/>
      <c r="L244" s="32"/>
      <c r="M244" s="32"/>
      <c r="N244" s="32"/>
      <c r="O244" s="32"/>
      <c r="P244" s="32"/>
      <c r="Q244" s="70">
        <f t="shared" si="22"/>
        <v>2800300</v>
      </c>
      <c r="R244" s="64">
        <v>0</v>
      </c>
      <c r="S244" s="31">
        <v>34150</v>
      </c>
      <c r="T244" s="31">
        <f t="shared" si="23"/>
        <v>25612.5</v>
      </c>
    </row>
    <row r="245" spans="1:20" ht="31.5">
      <c r="A245" s="37">
        <f t="shared" si="26"/>
        <v>41</v>
      </c>
      <c r="B245" s="36" t="s">
        <v>293</v>
      </c>
      <c r="C245" s="59">
        <v>162.8</v>
      </c>
      <c r="D245" s="69">
        <v>122.3</v>
      </c>
      <c r="E245" s="32"/>
      <c r="F245" s="32"/>
      <c r="G245" s="32"/>
      <c r="H245" s="59">
        <v>162.8</v>
      </c>
      <c r="I245" s="63">
        <v>5559620</v>
      </c>
      <c r="J245" s="31">
        <f t="shared" si="21"/>
        <v>34150</v>
      </c>
      <c r="K245" s="32"/>
      <c r="L245" s="32"/>
      <c r="M245" s="32"/>
      <c r="N245" s="32"/>
      <c r="O245" s="32"/>
      <c r="P245" s="32"/>
      <c r="Q245" s="70">
        <f t="shared" si="22"/>
        <v>5559620</v>
      </c>
      <c r="R245" s="64">
        <v>10244.999999999418</v>
      </c>
      <c r="S245" s="31">
        <v>34150</v>
      </c>
      <c r="T245" s="31">
        <f t="shared" si="23"/>
        <v>25612.5</v>
      </c>
    </row>
    <row r="246" spans="1:20" ht="31.5">
      <c r="A246" s="37">
        <f t="shared" si="26"/>
        <v>42</v>
      </c>
      <c r="B246" s="36" t="s">
        <v>294</v>
      </c>
      <c r="C246" s="59">
        <v>108.6</v>
      </c>
      <c r="D246" s="69">
        <v>69.6</v>
      </c>
      <c r="E246" s="32"/>
      <c r="F246" s="32"/>
      <c r="G246" s="32"/>
      <c r="H246" s="59">
        <v>108.6</v>
      </c>
      <c r="I246" s="63">
        <v>3708690</v>
      </c>
      <c r="J246" s="31">
        <f t="shared" si="21"/>
        <v>34150</v>
      </c>
      <c r="K246" s="32"/>
      <c r="L246" s="32"/>
      <c r="M246" s="32"/>
      <c r="N246" s="32"/>
      <c r="O246" s="32"/>
      <c r="P246" s="32"/>
      <c r="Q246" s="70">
        <f t="shared" si="22"/>
        <v>3708690</v>
      </c>
      <c r="R246" s="64">
        <v>0</v>
      </c>
      <c r="S246" s="31">
        <v>34150</v>
      </c>
      <c r="T246" s="31">
        <f t="shared" si="23"/>
        <v>25612.5</v>
      </c>
    </row>
    <row r="247" spans="1:20" ht="31.5">
      <c r="A247" s="37">
        <f t="shared" si="26"/>
        <v>43</v>
      </c>
      <c r="B247" s="36" t="s">
        <v>295</v>
      </c>
      <c r="C247" s="59">
        <v>161.1</v>
      </c>
      <c r="D247" s="69">
        <v>80.8</v>
      </c>
      <c r="E247" s="32"/>
      <c r="F247" s="32"/>
      <c r="G247" s="32"/>
      <c r="H247" s="59">
        <v>161.1</v>
      </c>
      <c r="I247" s="63">
        <v>5501565</v>
      </c>
      <c r="J247" s="31">
        <f t="shared" si="21"/>
        <v>34150</v>
      </c>
      <c r="K247" s="32"/>
      <c r="L247" s="32"/>
      <c r="M247" s="32"/>
      <c r="N247" s="32"/>
      <c r="O247" s="32"/>
      <c r="P247" s="32"/>
      <c r="Q247" s="70">
        <f t="shared" si="22"/>
        <v>5501565</v>
      </c>
      <c r="R247" s="64">
        <v>0</v>
      </c>
      <c r="S247" s="31">
        <v>34150</v>
      </c>
      <c r="T247" s="31">
        <f t="shared" si="23"/>
        <v>25612.5</v>
      </c>
    </row>
    <row r="248" spans="1:20" ht="31.5">
      <c r="A248" s="37">
        <f t="shared" si="26"/>
        <v>44</v>
      </c>
      <c r="B248" s="36" t="s">
        <v>296</v>
      </c>
      <c r="C248" s="59">
        <v>154.8</v>
      </c>
      <c r="D248" s="69">
        <v>38.4</v>
      </c>
      <c r="E248" s="32"/>
      <c r="F248" s="32"/>
      <c r="G248" s="32"/>
      <c r="H248" s="59">
        <v>154.8</v>
      </c>
      <c r="I248" s="63">
        <v>5286420</v>
      </c>
      <c r="J248" s="31">
        <f t="shared" si="21"/>
        <v>34150</v>
      </c>
      <c r="K248" s="32"/>
      <c r="L248" s="32"/>
      <c r="M248" s="32"/>
      <c r="N248" s="32"/>
      <c r="O248" s="32"/>
      <c r="P248" s="32"/>
      <c r="Q248" s="70">
        <f t="shared" si="22"/>
        <v>5286420</v>
      </c>
      <c r="R248" s="64">
        <v>13659.999999999223</v>
      </c>
      <c r="S248" s="31">
        <v>34150</v>
      </c>
      <c r="T248" s="31">
        <f t="shared" si="23"/>
        <v>25612.5</v>
      </c>
    </row>
    <row r="249" spans="1:20" ht="15.75">
      <c r="A249" s="186" t="s">
        <v>298</v>
      </c>
      <c r="B249" s="186"/>
      <c r="C249" s="76">
        <v>12511.2</v>
      </c>
      <c r="D249" s="69">
        <v>7910</v>
      </c>
      <c r="E249" s="32"/>
      <c r="F249" s="32"/>
      <c r="G249" s="32"/>
      <c r="H249" s="76">
        <v>12511.2</v>
      </c>
      <c r="I249" s="76">
        <v>427257480</v>
      </c>
      <c r="J249" s="31">
        <f t="shared" si="21"/>
        <v>34150</v>
      </c>
      <c r="K249" s="32"/>
      <c r="L249" s="32"/>
      <c r="M249" s="32"/>
      <c r="N249" s="32"/>
      <c r="O249" s="32"/>
      <c r="P249" s="32"/>
      <c r="Q249" s="70">
        <f t="shared" si="22"/>
        <v>427257480</v>
      </c>
      <c r="R249" s="64">
        <v>0</v>
      </c>
      <c r="S249" s="31">
        <v>34150</v>
      </c>
      <c r="T249" s="31">
        <f t="shared" si="23"/>
        <v>25612.5</v>
      </c>
    </row>
    <row r="250" spans="1:20" ht="31.5">
      <c r="A250" s="12">
        <v>45</v>
      </c>
      <c r="B250" s="94" t="s">
        <v>301</v>
      </c>
      <c r="C250" s="77">
        <v>105.5</v>
      </c>
      <c r="D250" s="69">
        <v>41.8</v>
      </c>
      <c r="E250" s="32"/>
      <c r="F250" s="32"/>
      <c r="G250" s="32"/>
      <c r="H250" s="77">
        <v>105.5</v>
      </c>
      <c r="I250" s="78">
        <v>3602825</v>
      </c>
      <c r="J250" s="31">
        <f t="shared" si="21"/>
        <v>34150</v>
      </c>
      <c r="K250" s="32"/>
      <c r="L250" s="32"/>
      <c r="M250" s="32"/>
      <c r="N250" s="32"/>
      <c r="O250" s="32"/>
      <c r="P250" s="32"/>
      <c r="Q250" s="70">
        <f t="shared" si="22"/>
        <v>3602825</v>
      </c>
      <c r="R250" s="64">
        <v>0</v>
      </c>
      <c r="S250" s="31">
        <v>34150</v>
      </c>
      <c r="T250" s="31">
        <f t="shared" si="23"/>
        <v>25612.5</v>
      </c>
    </row>
    <row r="251" spans="1:20" ht="47.25">
      <c r="A251" s="12">
        <f>A250+1</f>
        <v>46</v>
      </c>
      <c r="B251" s="94" t="s">
        <v>310</v>
      </c>
      <c r="C251" s="77">
        <v>85.6</v>
      </c>
      <c r="D251" s="69">
        <v>42.8</v>
      </c>
      <c r="E251" s="32"/>
      <c r="F251" s="32"/>
      <c r="G251" s="32"/>
      <c r="H251" s="77">
        <v>85.6</v>
      </c>
      <c r="I251" s="78">
        <v>2923240</v>
      </c>
      <c r="J251" s="31">
        <f t="shared" si="21"/>
        <v>34150</v>
      </c>
      <c r="K251" s="32"/>
      <c r="L251" s="32"/>
      <c r="M251" s="32"/>
      <c r="N251" s="32"/>
      <c r="O251" s="32"/>
      <c r="P251" s="32"/>
      <c r="Q251" s="70">
        <f t="shared" si="22"/>
        <v>2923240</v>
      </c>
      <c r="R251" s="64">
        <v>0</v>
      </c>
      <c r="S251" s="31">
        <v>34150</v>
      </c>
      <c r="T251" s="31">
        <f t="shared" si="23"/>
        <v>25612.5</v>
      </c>
    </row>
    <row r="252" spans="1:20" ht="31.5">
      <c r="A252" s="12">
        <f aca="true" t="shared" si="27" ref="A252:A315">A251+1</f>
        <v>47</v>
      </c>
      <c r="B252" s="94" t="s">
        <v>311</v>
      </c>
      <c r="C252" s="77">
        <v>89.2</v>
      </c>
      <c r="D252" s="69">
        <v>44.6</v>
      </c>
      <c r="E252" s="32"/>
      <c r="F252" s="32"/>
      <c r="G252" s="32"/>
      <c r="H252" s="77">
        <v>89.2</v>
      </c>
      <c r="I252" s="78">
        <v>3046180</v>
      </c>
      <c r="J252" s="31">
        <f t="shared" si="21"/>
        <v>34150</v>
      </c>
      <c r="K252" s="32"/>
      <c r="L252" s="32"/>
      <c r="M252" s="32"/>
      <c r="N252" s="32"/>
      <c r="O252" s="32"/>
      <c r="P252" s="32"/>
      <c r="Q252" s="70">
        <f t="shared" si="22"/>
        <v>3046180</v>
      </c>
      <c r="R252" s="64">
        <v>0</v>
      </c>
      <c r="S252" s="31">
        <v>34150</v>
      </c>
      <c r="T252" s="31">
        <f t="shared" si="23"/>
        <v>25612.5</v>
      </c>
    </row>
    <row r="253" spans="1:20" ht="47.25">
      <c r="A253" s="12">
        <f t="shared" si="27"/>
        <v>48</v>
      </c>
      <c r="B253" s="94" t="s">
        <v>312</v>
      </c>
      <c r="C253" s="77">
        <v>85.6</v>
      </c>
      <c r="D253" s="69">
        <v>0</v>
      </c>
      <c r="E253" s="32"/>
      <c r="F253" s="32"/>
      <c r="G253" s="32"/>
      <c r="H253" s="77">
        <v>85.6</v>
      </c>
      <c r="I253" s="78">
        <v>2923240</v>
      </c>
      <c r="J253" s="31">
        <f t="shared" si="21"/>
        <v>34150</v>
      </c>
      <c r="K253" s="32"/>
      <c r="L253" s="32"/>
      <c r="M253" s="32"/>
      <c r="N253" s="32"/>
      <c r="O253" s="32"/>
      <c r="P253" s="32"/>
      <c r="Q253" s="70">
        <f t="shared" si="22"/>
        <v>2923240</v>
      </c>
      <c r="R253" s="64">
        <v>0</v>
      </c>
      <c r="S253" s="31">
        <v>34150</v>
      </c>
      <c r="T253" s="31">
        <f t="shared" si="23"/>
        <v>25612.5</v>
      </c>
    </row>
    <row r="254" spans="1:20" ht="47.25">
      <c r="A254" s="12">
        <f t="shared" si="27"/>
        <v>49</v>
      </c>
      <c r="B254" s="94" t="s">
        <v>313</v>
      </c>
      <c r="C254" s="77">
        <v>112.7</v>
      </c>
      <c r="D254" s="69">
        <v>53.6</v>
      </c>
      <c r="E254" s="32"/>
      <c r="F254" s="32"/>
      <c r="G254" s="32"/>
      <c r="H254" s="77">
        <v>112.7</v>
      </c>
      <c r="I254" s="78">
        <v>3848705</v>
      </c>
      <c r="J254" s="31">
        <f t="shared" si="21"/>
        <v>34150</v>
      </c>
      <c r="K254" s="32"/>
      <c r="L254" s="32"/>
      <c r="M254" s="32"/>
      <c r="N254" s="32"/>
      <c r="O254" s="32"/>
      <c r="P254" s="32"/>
      <c r="Q254" s="70">
        <f t="shared" si="22"/>
        <v>3848705</v>
      </c>
      <c r="R254" s="64">
        <v>0</v>
      </c>
      <c r="S254" s="31">
        <v>34150</v>
      </c>
      <c r="T254" s="31">
        <f t="shared" si="23"/>
        <v>25612.5</v>
      </c>
    </row>
    <row r="255" spans="1:20" ht="47.25">
      <c r="A255" s="12">
        <f t="shared" si="27"/>
        <v>50</v>
      </c>
      <c r="B255" s="94" t="s">
        <v>314</v>
      </c>
      <c r="C255" s="77">
        <v>75.8</v>
      </c>
      <c r="D255" s="69">
        <v>75.8</v>
      </c>
      <c r="E255" s="32"/>
      <c r="F255" s="32"/>
      <c r="G255" s="32"/>
      <c r="H255" s="77">
        <v>75.8</v>
      </c>
      <c r="I255" s="78">
        <v>2588570</v>
      </c>
      <c r="J255" s="31">
        <f t="shared" si="21"/>
        <v>34150</v>
      </c>
      <c r="K255" s="32"/>
      <c r="L255" s="32"/>
      <c r="M255" s="32"/>
      <c r="N255" s="32"/>
      <c r="O255" s="32"/>
      <c r="P255" s="32"/>
      <c r="Q255" s="70">
        <f t="shared" si="22"/>
        <v>2588570</v>
      </c>
      <c r="R255" s="64">
        <v>0</v>
      </c>
      <c r="S255" s="31">
        <v>34150</v>
      </c>
      <c r="T255" s="31">
        <f t="shared" si="23"/>
        <v>25612.5</v>
      </c>
    </row>
    <row r="256" spans="1:20" ht="47.25">
      <c r="A256" s="12">
        <f t="shared" si="27"/>
        <v>51</v>
      </c>
      <c r="B256" s="94" t="s">
        <v>315</v>
      </c>
      <c r="C256" s="77">
        <v>88</v>
      </c>
      <c r="D256" s="69">
        <v>88</v>
      </c>
      <c r="E256" s="32"/>
      <c r="F256" s="32"/>
      <c r="G256" s="32"/>
      <c r="H256" s="77">
        <v>88</v>
      </c>
      <c r="I256" s="78">
        <v>3005200</v>
      </c>
      <c r="J256" s="31">
        <f t="shared" si="21"/>
        <v>34150</v>
      </c>
      <c r="K256" s="32"/>
      <c r="L256" s="32"/>
      <c r="M256" s="32"/>
      <c r="N256" s="32"/>
      <c r="O256" s="32"/>
      <c r="P256" s="32"/>
      <c r="Q256" s="70">
        <f t="shared" si="22"/>
        <v>3005200</v>
      </c>
      <c r="R256" s="64">
        <v>0</v>
      </c>
      <c r="S256" s="31">
        <v>34150</v>
      </c>
      <c r="T256" s="31">
        <f t="shared" si="23"/>
        <v>25612.5</v>
      </c>
    </row>
    <row r="257" spans="1:20" ht="31.5">
      <c r="A257" s="12">
        <f t="shared" si="27"/>
        <v>52</v>
      </c>
      <c r="B257" s="94" t="s">
        <v>316</v>
      </c>
      <c r="C257" s="77">
        <v>82.7</v>
      </c>
      <c r="D257" s="69">
        <v>62.2</v>
      </c>
      <c r="E257" s="32"/>
      <c r="F257" s="32"/>
      <c r="G257" s="32"/>
      <c r="H257" s="77">
        <v>82.7</v>
      </c>
      <c r="I257" s="78">
        <v>2824205</v>
      </c>
      <c r="J257" s="31">
        <f t="shared" si="21"/>
        <v>34150</v>
      </c>
      <c r="K257" s="32"/>
      <c r="L257" s="32"/>
      <c r="M257" s="32"/>
      <c r="N257" s="32"/>
      <c r="O257" s="32"/>
      <c r="P257" s="32"/>
      <c r="Q257" s="70">
        <f t="shared" si="22"/>
        <v>2824205</v>
      </c>
      <c r="R257" s="64">
        <v>0</v>
      </c>
      <c r="S257" s="31">
        <v>34150</v>
      </c>
      <c r="T257" s="31">
        <f t="shared" si="23"/>
        <v>25612.5</v>
      </c>
    </row>
    <row r="258" spans="1:20" ht="31.5">
      <c r="A258" s="12">
        <f t="shared" si="27"/>
        <v>53</v>
      </c>
      <c r="B258" s="94" t="s">
        <v>317</v>
      </c>
      <c r="C258" s="77">
        <v>68</v>
      </c>
      <c r="D258" s="69">
        <v>29.9</v>
      </c>
      <c r="E258" s="32"/>
      <c r="F258" s="32"/>
      <c r="G258" s="32"/>
      <c r="H258" s="77">
        <v>68</v>
      </c>
      <c r="I258" s="78">
        <v>2322200</v>
      </c>
      <c r="J258" s="31">
        <f t="shared" si="21"/>
        <v>34150</v>
      </c>
      <c r="K258" s="32"/>
      <c r="L258" s="32"/>
      <c r="M258" s="32"/>
      <c r="N258" s="32"/>
      <c r="O258" s="32"/>
      <c r="P258" s="32"/>
      <c r="Q258" s="70">
        <f t="shared" si="22"/>
        <v>2322200</v>
      </c>
      <c r="R258" s="64">
        <v>0</v>
      </c>
      <c r="S258" s="31">
        <v>34150</v>
      </c>
      <c r="T258" s="31">
        <f t="shared" si="23"/>
        <v>25612.5</v>
      </c>
    </row>
    <row r="259" spans="1:20" ht="31.5">
      <c r="A259" s="12">
        <f t="shared" si="27"/>
        <v>54</v>
      </c>
      <c r="B259" s="94" t="s">
        <v>318</v>
      </c>
      <c r="C259" s="77">
        <v>150.1</v>
      </c>
      <c r="D259" s="69">
        <v>50.3</v>
      </c>
      <c r="E259" s="32"/>
      <c r="F259" s="32"/>
      <c r="G259" s="32"/>
      <c r="H259" s="77">
        <v>150.1</v>
      </c>
      <c r="I259" s="78">
        <v>5125915</v>
      </c>
      <c r="J259" s="31">
        <f t="shared" si="21"/>
        <v>34150</v>
      </c>
      <c r="K259" s="32"/>
      <c r="L259" s="32"/>
      <c r="M259" s="32"/>
      <c r="N259" s="32"/>
      <c r="O259" s="32"/>
      <c r="P259" s="32"/>
      <c r="Q259" s="70">
        <f t="shared" si="22"/>
        <v>5125915</v>
      </c>
      <c r="R259" s="64">
        <v>0</v>
      </c>
      <c r="S259" s="31">
        <v>34150</v>
      </c>
      <c r="T259" s="31">
        <f t="shared" si="23"/>
        <v>25612.5</v>
      </c>
    </row>
    <row r="260" spans="1:20" ht="31.5">
      <c r="A260" s="12">
        <f t="shared" si="27"/>
        <v>55</v>
      </c>
      <c r="B260" s="94" t="s">
        <v>319</v>
      </c>
      <c r="C260" s="77">
        <v>87.2</v>
      </c>
      <c r="D260" s="69">
        <v>43.9</v>
      </c>
      <c r="E260" s="32"/>
      <c r="F260" s="32"/>
      <c r="G260" s="32"/>
      <c r="H260" s="77">
        <v>87.2</v>
      </c>
      <c r="I260" s="78">
        <v>2977880</v>
      </c>
      <c r="J260" s="31">
        <f t="shared" si="21"/>
        <v>34150</v>
      </c>
      <c r="K260" s="32"/>
      <c r="L260" s="32"/>
      <c r="M260" s="32"/>
      <c r="N260" s="32"/>
      <c r="O260" s="32"/>
      <c r="P260" s="32"/>
      <c r="Q260" s="70">
        <f t="shared" si="22"/>
        <v>2977880</v>
      </c>
      <c r="R260" s="64">
        <v>0</v>
      </c>
      <c r="S260" s="31">
        <v>34150</v>
      </c>
      <c r="T260" s="31">
        <f t="shared" si="23"/>
        <v>25612.5</v>
      </c>
    </row>
    <row r="261" spans="1:20" ht="31.5">
      <c r="A261" s="12">
        <f t="shared" si="27"/>
        <v>56</v>
      </c>
      <c r="B261" s="94" t="s">
        <v>320</v>
      </c>
      <c r="C261" s="77">
        <v>207.1</v>
      </c>
      <c r="D261" s="69">
        <v>138.6</v>
      </c>
      <c r="E261" s="32"/>
      <c r="F261" s="32"/>
      <c r="G261" s="32"/>
      <c r="H261" s="77">
        <v>207.1</v>
      </c>
      <c r="I261" s="78">
        <v>7072465</v>
      </c>
      <c r="J261" s="31">
        <f t="shared" si="21"/>
        <v>34150</v>
      </c>
      <c r="K261" s="32"/>
      <c r="L261" s="32"/>
      <c r="M261" s="32"/>
      <c r="N261" s="32"/>
      <c r="O261" s="32"/>
      <c r="P261" s="32"/>
      <c r="Q261" s="70">
        <f t="shared" si="22"/>
        <v>7072465</v>
      </c>
      <c r="R261" s="64">
        <v>0</v>
      </c>
      <c r="S261" s="31">
        <v>34150</v>
      </c>
      <c r="T261" s="31">
        <f t="shared" si="23"/>
        <v>25612.5</v>
      </c>
    </row>
    <row r="262" spans="1:20" ht="47.25">
      <c r="A262" s="12">
        <f t="shared" si="27"/>
        <v>57</v>
      </c>
      <c r="B262" s="94" t="s">
        <v>321</v>
      </c>
      <c r="C262" s="77">
        <v>213.3</v>
      </c>
      <c r="D262" s="69">
        <v>213.3</v>
      </c>
      <c r="E262" s="32"/>
      <c r="F262" s="32"/>
      <c r="G262" s="32"/>
      <c r="H262" s="77">
        <v>213.3</v>
      </c>
      <c r="I262" s="78">
        <v>7284195</v>
      </c>
      <c r="J262" s="31">
        <f t="shared" si="21"/>
        <v>34150</v>
      </c>
      <c r="K262" s="32"/>
      <c r="L262" s="32"/>
      <c r="M262" s="32"/>
      <c r="N262" s="32"/>
      <c r="O262" s="32"/>
      <c r="P262" s="32"/>
      <c r="Q262" s="70">
        <f t="shared" si="22"/>
        <v>7284195</v>
      </c>
      <c r="R262" s="64">
        <v>0</v>
      </c>
      <c r="S262" s="31">
        <v>34150</v>
      </c>
      <c r="T262" s="31">
        <f t="shared" si="23"/>
        <v>25612.5</v>
      </c>
    </row>
    <row r="263" spans="1:20" ht="31.5">
      <c r="A263" s="12">
        <f t="shared" si="27"/>
        <v>58</v>
      </c>
      <c r="B263" s="94" t="s">
        <v>322</v>
      </c>
      <c r="C263" s="77">
        <v>211.2</v>
      </c>
      <c r="D263" s="69">
        <v>176.7</v>
      </c>
      <c r="E263" s="32"/>
      <c r="F263" s="32"/>
      <c r="G263" s="32"/>
      <c r="H263" s="77">
        <v>211.2</v>
      </c>
      <c r="I263" s="78">
        <v>7212480</v>
      </c>
      <c r="J263" s="31">
        <f t="shared" si="21"/>
        <v>34150</v>
      </c>
      <c r="K263" s="32"/>
      <c r="L263" s="32"/>
      <c r="M263" s="32"/>
      <c r="N263" s="32"/>
      <c r="O263" s="32"/>
      <c r="P263" s="32"/>
      <c r="Q263" s="70">
        <f t="shared" si="22"/>
        <v>7212480</v>
      </c>
      <c r="R263" s="64">
        <v>0</v>
      </c>
      <c r="S263" s="31">
        <v>34150</v>
      </c>
      <c r="T263" s="31">
        <f t="shared" si="23"/>
        <v>25612.5</v>
      </c>
    </row>
    <row r="264" spans="1:20" ht="31.5">
      <c r="A264" s="12">
        <f t="shared" si="27"/>
        <v>59</v>
      </c>
      <c r="B264" s="94" t="s">
        <v>323</v>
      </c>
      <c r="C264" s="77">
        <v>81.7</v>
      </c>
      <c r="D264" s="69">
        <v>41.6</v>
      </c>
      <c r="E264" s="32"/>
      <c r="F264" s="32"/>
      <c r="G264" s="32"/>
      <c r="H264" s="77">
        <v>81.7</v>
      </c>
      <c r="I264" s="78">
        <v>2790055</v>
      </c>
      <c r="J264" s="31">
        <f t="shared" si="21"/>
        <v>34150</v>
      </c>
      <c r="K264" s="32"/>
      <c r="L264" s="32"/>
      <c r="M264" s="32"/>
      <c r="N264" s="32"/>
      <c r="O264" s="32"/>
      <c r="P264" s="32"/>
      <c r="Q264" s="70">
        <f t="shared" si="22"/>
        <v>2790055</v>
      </c>
      <c r="R264" s="64">
        <v>0</v>
      </c>
      <c r="S264" s="31">
        <v>34150</v>
      </c>
      <c r="T264" s="31">
        <f t="shared" si="23"/>
        <v>25612.5</v>
      </c>
    </row>
    <row r="265" spans="1:20" ht="31.5">
      <c r="A265" s="12">
        <f t="shared" si="27"/>
        <v>60</v>
      </c>
      <c r="B265" s="94" t="s">
        <v>324</v>
      </c>
      <c r="C265" s="77">
        <v>62.3</v>
      </c>
      <c r="D265" s="69">
        <v>41</v>
      </c>
      <c r="E265" s="32"/>
      <c r="F265" s="32"/>
      <c r="G265" s="32"/>
      <c r="H265" s="77">
        <v>62.3</v>
      </c>
      <c r="I265" s="78">
        <v>2127545</v>
      </c>
      <c r="J265" s="31">
        <f aca="true" t="shared" si="28" ref="J265:J328">I265/H265</f>
        <v>34150</v>
      </c>
      <c r="K265" s="32"/>
      <c r="L265" s="32"/>
      <c r="M265" s="32"/>
      <c r="N265" s="32"/>
      <c r="O265" s="32"/>
      <c r="P265" s="32"/>
      <c r="Q265" s="70">
        <f aca="true" t="shared" si="29" ref="Q265:Q328">I265</f>
        <v>2127545</v>
      </c>
      <c r="R265" s="64">
        <v>0</v>
      </c>
      <c r="S265" s="31">
        <v>34150</v>
      </c>
      <c r="T265" s="31">
        <f t="shared" si="23"/>
        <v>25612.5</v>
      </c>
    </row>
    <row r="266" spans="1:20" ht="47.25">
      <c r="A266" s="12">
        <f t="shared" si="27"/>
        <v>61</v>
      </c>
      <c r="B266" s="94" t="s">
        <v>325</v>
      </c>
      <c r="C266" s="77">
        <v>164.4</v>
      </c>
      <c r="D266" s="69">
        <v>139</v>
      </c>
      <c r="E266" s="32"/>
      <c r="F266" s="32"/>
      <c r="G266" s="32"/>
      <c r="H266" s="77">
        <v>164.4</v>
      </c>
      <c r="I266" s="78">
        <v>5614260</v>
      </c>
      <c r="J266" s="31">
        <f t="shared" si="28"/>
        <v>34150</v>
      </c>
      <c r="K266" s="32"/>
      <c r="L266" s="32"/>
      <c r="M266" s="32"/>
      <c r="N266" s="32"/>
      <c r="O266" s="32"/>
      <c r="P266" s="32"/>
      <c r="Q266" s="70">
        <f t="shared" si="29"/>
        <v>5614260</v>
      </c>
      <c r="R266" s="64">
        <v>0</v>
      </c>
      <c r="S266" s="31">
        <v>34150</v>
      </c>
      <c r="T266" s="31">
        <f aca="true" t="shared" si="30" ref="T266:T329">S266/4*3</f>
        <v>25612.5</v>
      </c>
    </row>
    <row r="267" spans="1:20" ht="47.25">
      <c r="A267" s="12">
        <f t="shared" si="27"/>
        <v>62</v>
      </c>
      <c r="B267" s="94" t="s">
        <v>326</v>
      </c>
      <c r="C267" s="77">
        <v>118.7</v>
      </c>
      <c r="D267" s="69">
        <v>118.7</v>
      </c>
      <c r="E267" s="32"/>
      <c r="F267" s="32"/>
      <c r="G267" s="32"/>
      <c r="H267" s="77">
        <v>118.7</v>
      </c>
      <c r="I267" s="78">
        <v>4053605</v>
      </c>
      <c r="J267" s="31">
        <f t="shared" si="28"/>
        <v>34150</v>
      </c>
      <c r="K267" s="32"/>
      <c r="L267" s="32"/>
      <c r="M267" s="32"/>
      <c r="N267" s="32"/>
      <c r="O267" s="32"/>
      <c r="P267" s="32"/>
      <c r="Q267" s="70">
        <f t="shared" si="29"/>
        <v>4053605</v>
      </c>
      <c r="R267" s="64">
        <v>0</v>
      </c>
      <c r="S267" s="31">
        <v>34150</v>
      </c>
      <c r="T267" s="31">
        <f t="shared" si="30"/>
        <v>25612.5</v>
      </c>
    </row>
    <row r="268" spans="1:20" ht="47.25">
      <c r="A268" s="12">
        <f t="shared" si="27"/>
        <v>63</v>
      </c>
      <c r="B268" s="94" t="s">
        <v>327</v>
      </c>
      <c r="C268" s="77">
        <v>91.4</v>
      </c>
      <c r="D268" s="69">
        <v>91.4</v>
      </c>
      <c r="E268" s="32"/>
      <c r="F268" s="32"/>
      <c r="G268" s="32"/>
      <c r="H268" s="77">
        <v>91.4</v>
      </c>
      <c r="I268" s="78">
        <v>3121310</v>
      </c>
      <c r="J268" s="31">
        <f t="shared" si="28"/>
        <v>34150</v>
      </c>
      <c r="K268" s="32"/>
      <c r="L268" s="32"/>
      <c r="M268" s="32"/>
      <c r="N268" s="32"/>
      <c r="O268" s="32"/>
      <c r="P268" s="32"/>
      <c r="Q268" s="70">
        <f t="shared" si="29"/>
        <v>3121310</v>
      </c>
      <c r="R268" s="64">
        <v>0</v>
      </c>
      <c r="S268" s="31">
        <v>34150</v>
      </c>
      <c r="T268" s="31">
        <f t="shared" si="30"/>
        <v>25612.5</v>
      </c>
    </row>
    <row r="269" spans="1:20" ht="47.25">
      <c r="A269" s="12">
        <f t="shared" si="27"/>
        <v>64</v>
      </c>
      <c r="B269" s="94" t="s">
        <v>328</v>
      </c>
      <c r="C269" s="77">
        <v>208.9</v>
      </c>
      <c r="D269" s="69">
        <v>77</v>
      </c>
      <c r="E269" s="32"/>
      <c r="F269" s="32"/>
      <c r="G269" s="32"/>
      <c r="H269" s="77">
        <v>208.9</v>
      </c>
      <c r="I269" s="78">
        <v>7133935</v>
      </c>
      <c r="J269" s="31">
        <f t="shared" si="28"/>
        <v>34150</v>
      </c>
      <c r="K269" s="32"/>
      <c r="L269" s="32"/>
      <c r="M269" s="32"/>
      <c r="N269" s="32"/>
      <c r="O269" s="32"/>
      <c r="P269" s="32"/>
      <c r="Q269" s="70">
        <f t="shared" si="29"/>
        <v>7133935</v>
      </c>
      <c r="R269" s="64">
        <v>0</v>
      </c>
      <c r="S269" s="31">
        <v>34150</v>
      </c>
      <c r="T269" s="31">
        <f t="shared" si="30"/>
        <v>25612.5</v>
      </c>
    </row>
    <row r="270" spans="1:20" ht="47.25">
      <c r="A270" s="12">
        <f t="shared" si="27"/>
        <v>65</v>
      </c>
      <c r="B270" s="94" t="s">
        <v>329</v>
      </c>
      <c r="C270" s="77">
        <v>147.9</v>
      </c>
      <c r="D270" s="69">
        <v>71.3</v>
      </c>
      <c r="E270" s="32"/>
      <c r="F270" s="32"/>
      <c r="G270" s="32"/>
      <c r="H270" s="77">
        <v>147.9</v>
      </c>
      <c r="I270" s="78">
        <v>5050785</v>
      </c>
      <c r="J270" s="31">
        <f t="shared" si="28"/>
        <v>34150</v>
      </c>
      <c r="K270" s="32"/>
      <c r="L270" s="32"/>
      <c r="M270" s="32"/>
      <c r="N270" s="32"/>
      <c r="O270" s="32"/>
      <c r="P270" s="32"/>
      <c r="Q270" s="70">
        <f t="shared" si="29"/>
        <v>5050785</v>
      </c>
      <c r="R270" s="64">
        <v>0</v>
      </c>
      <c r="S270" s="31">
        <v>34150</v>
      </c>
      <c r="T270" s="31">
        <f t="shared" si="30"/>
        <v>25612.5</v>
      </c>
    </row>
    <row r="271" spans="1:20" ht="31.5">
      <c r="A271" s="12">
        <f t="shared" si="27"/>
        <v>66</v>
      </c>
      <c r="B271" s="94" t="s">
        <v>330</v>
      </c>
      <c r="C271" s="77">
        <v>127.8</v>
      </c>
      <c r="D271" s="69">
        <v>0</v>
      </c>
      <c r="E271" s="32"/>
      <c r="F271" s="32"/>
      <c r="G271" s="32"/>
      <c r="H271" s="77">
        <v>127.8</v>
      </c>
      <c r="I271" s="78">
        <v>4364370</v>
      </c>
      <c r="J271" s="31">
        <f t="shared" si="28"/>
        <v>34150</v>
      </c>
      <c r="K271" s="32"/>
      <c r="L271" s="32"/>
      <c r="M271" s="32"/>
      <c r="N271" s="32"/>
      <c r="O271" s="32"/>
      <c r="P271" s="32"/>
      <c r="Q271" s="70">
        <f t="shared" si="29"/>
        <v>4364370</v>
      </c>
      <c r="R271" s="64">
        <v>0</v>
      </c>
      <c r="S271" s="31">
        <v>34150</v>
      </c>
      <c r="T271" s="31">
        <f t="shared" si="30"/>
        <v>25612.5</v>
      </c>
    </row>
    <row r="272" spans="1:20" ht="47.25">
      <c r="A272" s="12">
        <f t="shared" si="27"/>
        <v>67</v>
      </c>
      <c r="B272" s="94" t="s">
        <v>331</v>
      </c>
      <c r="C272" s="77">
        <v>87.7</v>
      </c>
      <c r="D272" s="69">
        <v>0</v>
      </c>
      <c r="E272" s="32"/>
      <c r="F272" s="32"/>
      <c r="G272" s="32"/>
      <c r="H272" s="77">
        <v>87.7</v>
      </c>
      <c r="I272" s="78">
        <v>2994955</v>
      </c>
      <c r="J272" s="31">
        <f t="shared" si="28"/>
        <v>34150</v>
      </c>
      <c r="K272" s="32"/>
      <c r="L272" s="32"/>
      <c r="M272" s="32"/>
      <c r="N272" s="32"/>
      <c r="O272" s="32"/>
      <c r="P272" s="32"/>
      <c r="Q272" s="70">
        <f t="shared" si="29"/>
        <v>2994955</v>
      </c>
      <c r="R272" s="64">
        <v>0</v>
      </c>
      <c r="S272" s="31">
        <v>34150</v>
      </c>
      <c r="T272" s="31">
        <f t="shared" si="30"/>
        <v>25612.5</v>
      </c>
    </row>
    <row r="273" spans="1:20" ht="31.5">
      <c r="A273" s="12">
        <f t="shared" si="27"/>
        <v>68</v>
      </c>
      <c r="B273" s="94" t="s">
        <v>332</v>
      </c>
      <c r="C273" s="77">
        <v>102</v>
      </c>
      <c r="D273" s="69">
        <v>58.4</v>
      </c>
      <c r="E273" s="32"/>
      <c r="F273" s="32"/>
      <c r="G273" s="32"/>
      <c r="H273" s="77">
        <v>102</v>
      </c>
      <c r="I273" s="78">
        <v>3483300</v>
      </c>
      <c r="J273" s="31">
        <f t="shared" si="28"/>
        <v>34150</v>
      </c>
      <c r="K273" s="32"/>
      <c r="L273" s="32"/>
      <c r="M273" s="32"/>
      <c r="N273" s="32"/>
      <c r="O273" s="32"/>
      <c r="P273" s="32"/>
      <c r="Q273" s="70">
        <f t="shared" si="29"/>
        <v>3483300</v>
      </c>
      <c r="R273" s="64">
        <v>0</v>
      </c>
      <c r="S273" s="31">
        <v>34150</v>
      </c>
      <c r="T273" s="31">
        <f t="shared" si="30"/>
        <v>25612.5</v>
      </c>
    </row>
    <row r="274" spans="1:20" ht="31.5">
      <c r="A274" s="12">
        <f t="shared" si="27"/>
        <v>69</v>
      </c>
      <c r="B274" s="94" t="s">
        <v>333</v>
      </c>
      <c r="C274" s="77">
        <v>127.7</v>
      </c>
      <c r="D274" s="69">
        <v>58.9</v>
      </c>
      <c r="E274" s="32"/>
      <c r="F274" s="32"/>
      <c r="G274" s="32"/>
      <c r="H274" s="77">
        <v>127.7</v>
      </c>
      <c r="I274" s="78">
        <v>4360955</v>
      </c>
      <c r="J274" s="31">
        <f t="shared" si="28"/>
        <v>34150</v>
      </c>
      <c r="K274" s="32"/>
      <c r="L274" s="32"/>
      <c r="M274" s="32"/>
      <c r="N274" s="32"/>
      <c r="O274" s="32"/>
      <c r="P274" s="32"/>
      <c r="Q274" s="70">
        <f t="shared" si="29"/>
        <v>4360955</v>
      </c>
      <c r="R274" s="64">
        <v>0</v>
      </c>
      <c r="S274" s="31">
        <v>34150</v>
      </c>
      <c r="T274" s="31">
        <f t="shared" si="30"/>
        <v>25612.5</v>
      </c>
    </row>
    <row r="275" spans="1:20" ht="31.5">
      <c r="A275" s="12">
        <f t="shared" si="27"/>
        <v>70</v>
      </c>
      <c r="B275" s="94" t="s">
        <v>334</v>
      </c>
      <c r="C275" s="77">
        <v>100</v>
      </c>
      <c r="D275" s="69">
        <v>100</v>
      </c>
      <c r="E275" s="32"/>
      <c r="F275" s="32"/>
      <c r="G275" s="32"/>
      <c r="H275" s="77">
        <v>100</v>
      </c>
      <c r="I275" s="78">
        <v>3415000</v>
      </c>
      <c r="J275" s="31">
        <f t="shared" si="28"/>
        <v>34150</v>
      </c>
      <c r="K275" s="32"/>
      <c r="L275" s="32"/>
      <c r="M275" s="32"/>
      <c r="N275" s="32"/>
      <c r="O275" s="32"/>
      <c r="P275" s="32"/>
      <c r="Q275" s="70">
        <f t="shared" si="29"/>
        <v>3415000</v>
      </c>
      <c r="R275" s="64">
        <v>0</v>
      </c>
      <c r="S275" s="31">
        <v>34150</v>
      </c>
      <c r="T275" s="31">
        <f t="shared" si="30"/>
        <v>25612.5</v>
      </c>
    </row>
    <row r="276" spans="1:20" ht="31.5">
      <c r="A276" s="12">
        <f t="shared" si="27"/>
        <v>71</v>
      </c>
      <c r="B276" s="94" t="s">
        <v>335</v>
      </c>
      <c r="C276" s="77">
        <v>87.4</v>
      </c>
      <c r="D276" s="69">
        <v>43.6</v>
      </c>
      <c r="E276" s="32"/>
      <c r="F276" s="32"/>
      <c r="G276" s="32"/>
      <c r="H276" s="77">
        <v>87.4</v>
      </c>
      <c r="I276" s="78">
        <v>2984710</v>
      </c>
      <c r="J276" s="31">
        <f t="shared" si="28"/>
        <v>34150</v>
      </c>
      <c r="K276" s="32"/>
      <c r="L276" s="32"/>
      <c r="M276" s="32"/>
      <c r="N276" s="32"/>
      <c r="O276" s="32"/>
      <c r="P276" s="32"/>
      <c r="Q276" s="70">
        <f t="shared" si="29"/>
        <v>2984710</v>
      </c>
      <c r="R276" s="64">
        <v>0</v>
      </c>
      <c r="S276" s="31">
        <v>34150</v>
      </c>
      <c r="T276" s="31">
        <f t="shared" si="30"/>
        <v>25612.5</v>
      </c>
    </row>
    <row r="277" spans="1:20" ht="47.25">
      <c r="A277" s="12">
        <f t="shared" si="27"/>
        <v>72</v>
      </c>
      <c r="B277" s="94" t="s">
        <v>336</v>
      </c>
      <c r="C277" s="77">
        <v>102.7</v>
      </c>
      <c r="D277" s="69">
        <v>42.1</v>
      </c>
      <c r="E277" s="32"/>
      <c r="F277" s="32"/>
      <c r="G277" s="32"/>
      <c r="H277" s="77">
        <v>102.7</v>
      </c>
      <c r="I277" s="78">
        <v>3507205</v>
      </c>
      <c r="J277" s="31">
        <f t="shared" si="28"/>
        <v>34150</v>
      </c>
      <c r="K277" s="32"/>
      <c r="L277" s="32"/>
      <c r="M277" s="32"/>
      <c r="N277" s="32"/>
      <c r="O277" s="32"/>
      <c r="P277" s="32"/>
      <c r="Q277" s="70">
        <f t="shared" si="29"/>
        <v>3507205</v>
      </c>
      <c r="R277" s="64">
        <v>0</v>
      </c>
      <c r="S277" s="31">
        <v>34150</v>
      </c>
      <c r="T277" s="31">
        <f t="shared" si="30"/>
        <v>25612.5</v>
      </c>
    </row>
    <row r="278" spans="1:20" ht="47.25">
      <c r="A278" s="12">
        <f t="shared" si="27"/>
        <v>73</v>
      </c>
      <c r="B278" s="94" t="s">
        <v>337</v>
      </c>
      <c r="C278" s="77">
        <v>98.7</v>
      </c>
      <c r="D278" s="69">
        <v>98.7</v>
      </c>
      <c r="E278" s="32"/>
      <c r="F278" s="32"/>
      <c r="G278" s="32"/>
      <c r="H278" s="77">
        <v>98.7</v>
      </c>
      <c r="I278" s="78">
        <v>3370605</v>
      </c>
      <c r="J278" s="31">
        <f t="shared" si="28"/>
        <v>34150</v>
      </c>
      <c r="K278" s="32"/>
      <c r="L278" s="32"/>
      <c r="M278" s="32"/>
      <c r="N278" s="32"/>
      <c r="O278" s="32"/>
      <c r="P278" s="32"/>
      <c r="Q278" s="70">
        <f t="shared" si="29"/>
        <v>3370605</v>
      </c>
      <c r="R278" s="64">
        <v>0</v>
      </c>
      <c r="S278" s="31">
        <v>34150</v>
      </c>
      <c r="T278" s="31">
        <f t="shared" si="30"/>
        <v>25612.5</v>
      </c>
    </row>
    <row r="279" spans="1:20" ht="47.25">
      <c r="A279" s="12">
        <f t="shared" si="27"/>
        <v>74</v>
      </c>
      <c r="B279" s="94" t="s">
        <v>338</v>
      </c>
      <c r="C279" s="77">
        <v>67.3</v>
      </c>
      <c r="D279" s="69">
        <v>67.3</v>
      </c>
      <c r="E279" s="32"/>
      <c r="F279" s="32"/>
      <c r="G279" s="32"/>
      <c r="H279" s="77">
        <v>67.3</v>
      </c>
      <c r="I279" s="78">
        <v>2298295</v>
      </c>
      <c r="J279" s="31">
        <f t="shared" si="28"/>
        <v>34150</v>
      </c>
      <c r="K279" s="32"/>
      <c r="L279" s="32"/>
      <c r="M279" s="32"/>
      <c r="N279" s="32"/>
      <c r="O279" s="32"/>
      <c r="P279" s="32"/>
      <c r="Q279" s="70">
        <f t="shared" si="29"/>
        <v>2298295</v>
      </c>
      <c r="R279" s="64">
        <v>0</v>
      </c>
      <c r="S279" s="31">
        <v>34150</v>
      </c>
      <c r="T279" s="31">
        <f t="shared" si="30"/>
        <v>25612.5</v>
      </c>
    </row>
    <row r="280" spans="1:20" ht="47.25">
      <c r="A280" s="12">
        <f t="shared" si="27"/>
        <v>75</v>
      </c>
      <c r="B280" s="94" t="s">
        <v>339</v>
      </c>
      <c r="C280" s="77">
        <v>86.2</v>
      </c>
      <c r="D280" s="69">
        <v>43.1</v>
      </c>
      <c r="E280" s="32"/>
      <c r="F280" s="32"/>
      <c r="G280" s="32"/>
      <c r="H280" s="77">
        <v>86.2</v>
      </c>
      <c r="I280" s="78">
        <v>2943730</v>
      </c>
      <c r="J280" s="31">
        <f t="shared" si="28"/>
        <v>34150</v>
      </c>
      <c r="K280" s="32"/>
      <c r="L280" s="32"/>
      <c r="M280" s="32"/>
      <c r="N280" s="32"/>
      <c r="O280" s="32"/>
      <c r="P280" s="32"/>
      <c r="Q280" s="70">
        <f t="shared" si="29"/>
        <v>2943730</v>
      </c>
      <c r="R280" s="64">
        <v>0</v>
      </c>
      <c r="S280" s="31">
        <v>34150</v>
      </c>
      <c r="T280" s="31">
        <f t="shared" si="30"/>
        <v>25612.5</v>
      </c>
    </row>
    <row r="281" spans="1:20" ht="47.25">
      <c r="A281" s="12">
        <f t="shared" si="27"/>
        <v>76</v>
      </c>
      <c r="B281" s="94" t="s">
        <v>340</v>
      </c>
      <c r="C281" s="77">
        <v>87.7</v>
      </c>
      <c r="D281" s="69">
        <v>87.7</v>
      </c>
      <c r="E281" s="32"/>
      <c r="F281" s="32"/>
      <c r="G281" s="32"/>
      <c r="H281" s="77">
        <v>87.7</v>
      </c>
      <c r="I281" s="78">
        <v>2994955</v>
      </c>
      <c r="J281" s="31">
        <f t="shared" si="28"/>
        <v>34150</v>
      </c>
      <c r="K281" s="32"/>
      <c r="L281" s="32"/>
      <c r="M281" s="32"/>
      <c r="N281" s="32"/>
      <c r="O281" s="32"/>
      <c r="P281" s="32"/>
      <c r="Q281" s="70">
        <f t="shared" si="29"/>
        <v>2994955</v>
      </c>
      <c r="R281" s="64">
        <v>0</v>
      </c>
      <c r="S281" s="31">
        <v>34150</v>
      </c>
      <c r="T281" s="31">
        <f t="shared" si="30"/>
        <v>25612.5</v>
      </c>
    </row>
    <row r="282" spans="1:20" ht="47.25">
      <c r="A282" s="12">
        <f t="shared" si="27"/>
        <v>77</v>
      </c>
      <c r="B282" s="94" t="s">
        <v>341</v>
      </c>
      <c r="C282" s="77">
        <v>84.9</v>
      </c>
      <c r="D282" s="69">
        <v>20.8</v>
      </c>
      <c r="E282" s="32"/>
      <c r="F282" s="32"/>
      <c r="G282" s="32"/>
      <c r="H282" s="77">
        <v>84.9</v>
      </c>
      <c r="I282" s="78">
        <v>2899335</v>
      </c>
      <c r="J282" s="31">
        <f t="shared" si="28"/>
        <v>34150</v>
      </c>
      <c r="K282" s="32"/>
      <c r="L282" s="32"/>
      <c r="M282" s="32"/>
      <c r="N282" s="32"/>
      <c r="O282" s="32"/>
      <c r="P282" s="32"/>
      <c r="Q282" s="70">
        <f t="shared" si="29"/>
        <v>2899335</v>
      </c>
      <c r="R282" s="64">
        <v>0</v>
      </c>
      <c r="S282" s="31">
        <v>34150</v>
      </c>
      <c r="T282" s="31">
        <f t="shared" si="30"/>
        <v>25612.5</v>
      </c>
    </row>
    <row r="283" spans="1:20" ht="47.25">
      <c r="A283" s="12">
        <f t="shared" si="27"/>
        <v>78</v>
      </c>
      <c r="B283" s="94" t="s">
        <v>342</v>
      </c>
      <c r="C283" s="77">
        <v>97.4</v>
      </c>
      <c r="D283" s="69">
        <v>53.8</v>
      </c>
      <c r="E283" s="32"/>
      <c r="F283" s="32"/>
      <c r="G283" s="32"/>
      <c r="H283" s="77">
        <v>97.4</v>
      </c>
      <c r="I283" s="78">
        <v>3326210</v>
      </c>
      <c r="J283" s="31">
        <f t="shared" si="28"/>
        <v>34150</v>
      </c>
      <c r="K283" s="32"/>
      <c r="L283" s="32"/>
      <c r="M283" s="32"/>
      <c r="N283" s="32"/>
      <c r="O283" s="32"/>
      <c r="P283" s="32"/>
      <c r="Q283" s="70">
        <f t="shared" si="29"/>
        <v>3326210</v>
      </c>
      <c r="R283" s="64">
        <v>0</v>
      </c>
      <c r="S283" s="31">
        <v>34150</v>
      </c>
      <c r="T283" s="31">
        <f t="shared" si="30"/>
        <v>25612.5</v>
      </c>
    </row>
    <row r="284" spans="1:20" ht="47.25">
      <c r="A284" s="12">
        <f t="shared" si="27"/>
        <v>79</v>
      </c>
      <c r="B284" s="94" t="s">
        <v>343</v>
      </c>
      <c r="C284" s="77">
        <v>101.5</v>
      </c>
      <c r="D284" s="69">
        <v>55.9</v>
      </c>
      <c r="E284" s="32"/>
      <c r="F284" s="32"/>
      <c r="G284" s="32"/>
      <c r="H284" s="77">
        <v>101.5</v>
      </c>
      <c r="I284" s="78">
        <v>3466225</v>
      </c>
      <c r="J284" s="31">
        <f t="shared" si="28"/>
        <v>34150</v>
      </c>
      <c r="K284" s="32"/>
      <c r="L284" s="32"/>
      <c r="M284" s="32"/>
      <c r="N284" s="32"/>
      <c r="O284" s="32"/>
      <c r="P284" s="32"/>
      <c r="Q284" s="70">
        <f t="shared" si="29"/>
        <v>3466225</v>
      </c>
      <c r="R284" s="64">
        <v>0</v>
      </c>
      <c r="S284" s="31">
        <v>34150</v>
      </c>
      <c r="T284" s="31">
        <f t="shared" si="30"/>
        <v>25612.5</v>
      </c>
    </row>
    <row r="285" spans="1:20" ht="31.5">
      <c r="A285" s="12">
        <f t="shared" si="27"/>
        <v>80</v>
      </c>
      <c r="B285" s="94" t="s">
        <v>344</v>
      </c>
      <c r="C285" s="77">
        <v>228.1</v>
      </c>
      <c r="D285" s="69">
        <v>187.4</v>
      </c>
      <c r="E285" s="32"/>
      <c r="F285" s="32"/>
      <c r="G285" s="32"/>
      <c r="H285" s="77">
        <v>228.1</v>
      </c>
      <c r="I285" s="78">
        <v>7789615</v>
      </c>
      <c r="J285" s="31">
        <f t="shared" si="28"/>
        <v>34150</v>
      </c>
      <c r="K285" s="32"/>
      <c r="L285" s="32"/>
      <c r="M285" s="32"/>
      <c r="N285" s="32"/>
      <c r="O285" s="32"/>
      <c r="P285" s="32"/>
      <c r="Q285" s="70">
        <f t="shared" si="29"/>
        <v>7789615</v>
      </c>
      <c r="R285" s="64">
        <v>0</v>
      </c>
      <c r="S285" s="31">
        <v>34150</v>
      </c>
      <c r="T285" s="31">
        <f t="shared" si="30"/>
        <v>25612.5</v>
      </c>
    </row>
    <row r="286" spans="1:20" ht="31.5">
      <c r="A286" s="12">
        <f t="shared" si="27"/>
        <v>81</v>
      </c>
      <c r="B286" s="94" t="s">
        <v>345</v>
      </c>
      <c r="C286" s="77">
        <v>372.3</v>
      </c>
      <c r="D286" s="69">
        <v>222.2</v>
      </c>
      <c r="E286" s="32"/>
      <c r="F286" s="32"/>
      <c r="G286" s="32"/>
      <c r="H286" s="77">
        <v>372.3</v>
      </c>
      <c r="I286" s="78">
        <v>12714045</v>
      </c>
      <c r="J286" s="31">
        <f t="shared" si="28"/>
        <v>34150</v>
      </c>
      <c r="K286" s="32"/>
      <c r="L286" s="32"/>
      <c r="M286" s="32"/>
      <c r="N286" s="32"/>
      <c r="O286" s="32"/>
      <c r="P286" s="32"/>
      <c r="Q286" s="70">
        <f t="shared" si="29"/>
        <v>12714045</v>
      </c>
      <c r="R286" s="64">
        <v>0</v>
      </c>
      <c r="S286" s="31">
        <v>34150</v>
      </c>
      <c r="T286" s="31">
        <f t="shared" si="30"/>
        <v>25612.5</v>
      </c>
    </row>
    <row r="287" spans="1:20" ht="47.25">
      <c r="A287" s="12">
        <f t="shared" si="27"/>
        <v>82</v>
      </c>
      <c r="B287" s="94" t="s">
        <v>346</v>
      </c>
      <c r="C287" s="77">
        <v>96</v>
      </c>
      <c r="D287" s="69">
        <v>96</v>
      </c>
      <c r="E287" s="32"/>
      <c r="F287" s="32"/>
      <c r="G287" s="32"/>
      <c r="H287" s="77">
        <v>96</v>
      </c>
      <c r="I287" s="78">
        <v>3278400</v>
      </c>
      <c r="J287" s="31">
        <f t="shared" si="28"/>
        <v>34150</v>
      </c>
      <c r="K287" s="32"/>
      <c r="L287" s="32"/>
      <c r="M287" s="32"/>
      <c r="N287" s="32"/>
      <c r="O287" s="32"/>
      <c r="P287" s="32"/>
      <c r="Q287" s="70">
        <f t="shared" si="29"/>
        <v>3278400</v>
      </c>
      <c r="R287" s="64">
        <v>0</v>
      </c>
      <c r="S287" s="31">
        <v>34150</v>
      </c>
      <c r="T287" s="31">
        <f t="shared" si="30"/>
        <v>25612.5</v>
      </c>
    </row>
    <row r="288" spans="1:20" ht="47.25">
      <c r="A288" s="12">
        <f t="shared" si="27"/>
        <v>83</v>
      </c>
      <c r="B288" s="94" t="s">
        <v>347</v>
      </c>
      <c r="C288" s="77">
        <v>73.8</v>
      </c>
      <c r="D288" s="69">
        <v>37</v>
      </c>
      <c r="E288" s="32"/>
      <c r="F288" s="32"/>
      <c r="G288" s="32"/>
      <c r="H288" s="77">
        <v>73.8</v>
      </c>
      <c r="I288" s="78">
        <v>2520270</v>
      </c>
      <c r="J288" s="31">
        <f t="shared" si="28"/>
        <v>34150</v>
      </c>
      <c r="K288" s="32"/>
      <c r="L288" s="32"/>
      <c r="M288" s="32"/>
      <c r="N288" s="32"/>
      <c r="O288" s="32"/>
      <c r="P288" s="32"/>
      <c r="Q288" s="70">
        <f t="shared" si="29"/>
        <v>2520270</v>
      </c>
      <c r="R288" s="64">
        <v>0</v>
      </c>
      <c r="S288" s="31">
        <v>34150</v>
      </c>
      <c r="T288" s="31">
        <f t="shared" si="30"/>
        <v>25612.5</v>
      </c>
    </row>
    <row r="289" spans="1:20" ht="31.5">
      <c r="A289" s="12">
        <f t="shared" si="27"/>
        <v>84</v>
      </c>
      <c r="B289" s="94" t="s">
        <v>348</v>
      </c>
      <c r="C289" s="77">
        <v>72.4</v>
      </c>
      <c r="D289" s="69">
        <v>0</v>
      </c>
      <c r="E289" s="32"/>
      <c r="F289" s="32"/>
      <c r="G289" s="32"/>
      <c r="H289" s="77">
        <v>72.4</v>
      </c>
      <c r="I289" s="78">
        <v>2472460</v>
      </c>
      <c r="J289" s="31">
        <f t="shared" si="28"/>
        <v>34150</v>
      </c>
      <c r="K289" s="32"/>
      <c r="L289" s="32"/>
      <c r="M289" s="32"/>
      <c r="N289" s="32"/>
      <c r="O289" s="32"/>
      <c r="P289" s="32"/>
      <c r="Q289" s="70">
        <f t="shared" si="29"/>
        <v>2472460</v>
      </c>
      <c r="R289" s="64">
        <v>0</v>
      </c>
      <c r="S289" s="31">
        <v>34150</v>
      </c>
      <c r="T289" s="31">
        <f t="shared" si="30"/>
        <v>25612.5</v>
      </c>
    </row>
    <row r="290" spans="1:20" ht="47.25">
      <c r="A290" s="12">
        <f t="shared" si="27"/>
        <v>85</v>
      </c>
      <c r="B290" s="94" t="s">
        <v>349</v>
      </c>
      <c r="C290" s="77">
        <v>109.3</v>
      </c>
      <c r="D290" s="69">
        <v>55.7</v>
      </c>
      <c r="E290" s="32"/>
      <c r="F290" s="32"/>
      <c r="G290" s="32"/>
      <c r="H290" s="77">
        <v>109.3</v>
      </c>
      <c r="I290" s="78">
        <v>3732595</v>
      </c>
      <c r="J290" s="31">
        <f t="shared" si="28"/>
        <v>34150</v>
      </c>
      <c r="K290" s="32"/>
      <c r="L290" s="32"/>
      <c r="M290" s="32"/>
      <c r="N290" s="32"/>
      <c r="O290" s="32"/>
      <c r="P290" s="32"/>
      <c r="Q290" s="70">
        <f t="shared" si="29"/>
        <v>3732595</v>
      </c>
      <c r="R290" s="64">
        <v>0</v>
      </c>
      <c r="S290" s="31">
        <v>34150</v>
      </c>
      <c r="T290" s="31">
        <f t="shared" si="30"/>
        <v>25612.5</v>
      </c>
    </row>
    <row r="291" spans="1:20" ht="47.25">
      <c r="A291" s="12">
        <f t="shared" si="27"/>
        <v>86</v>
      </c>
      <c r="B291" s="94" t="s">
        <v>350</v>
      </c>
      <c r="C291" s="77">
        <v>100.8</v>
      </c>
      <c r="D291" s="69">
        <v>78.5</v>
      </c>
      <c r="E291" s="32"/>
      <c r="F291" s="32"/>
      <c r="G291" s="32"/>
      <c r="H291" s="77">
        <v>100.8</v>
      </c>
      <c r="I291" s="78">
        <v>3442320</v>
      </c>
      <c r="J291" s="31">
        <f t="shared" si="28"/>
        <v>34150</v>
      </c>
      <c r="K291" s="32"/>
      <c r="L291" s="32"/>
      <c r="M291" s="32"/>
      <c r="N291" s="32"/>
      <c r="O291" s="32"/>
      <c r="P291" s="32"/>
      <c r="Q291" s="70">
        <f t="shared" si="29"/>
        <v>3442320</v>
      </c>
      <c r="R291" s="64">
        <v>0</v>
      </c>
      <c r="S291" s="31">
        <v>34150</v>
      </c>
      <c r="T291" s="31">
        <f t="shared" si="30"/>
        <v>25612.5</v>
      </c>
    </row>
    <row r="292" spans="1:20" ht="47.25">
      <c r="A292" s="12">
        <f t="shared" si="27"/>
        <v>87</v>
      </c>
      <c r="B292" s="94" t="s">
        <v>351</v>
      </c>
      <c r="C292" s="77">
        <v>102.7</v>
      </c>
      <c r="D292" s="69">
        <v>39.9</v>
      </c>
      <c r="E292" s="32"/>
      <c r="F292" s="32"/>
      <c r="G292" s="32"/>
      <c r="H292" s="77">
        <v>102.7</v>
      </c>
      <c r="I292" s="78">
        <v>3507205</v>
      </c>
      <c r="J292" s="31">
        <f t="shared" si="28"/>
        <v>34150</v>
      </c>
      <c r="K292" s="32"/>
      <c r="L292" s="32"/>
      <c r="M292" s="32"/>
      <c r="N292" s="32"/>
      <c r="O292" s="32"/>
      <c r="P292" s="32"/>
      <c r="Q292" s="70">
        <f t="shared" si="29"/>
        <v>3507205</v>
      </c>
      <c r="R292" s="64">
        <v>0</v>
      </c>
      <c r="S292" s="31">
        <v>34150</v>
      </c>
      <c r="T292" s="31">
        <f t="shared" si="30"/>
        <v>25612.5</v>
      </c>
    </row>
    <row r="293" spans="1:20" ht="47.25">
      <c r="A293" s="12">
        <f t="shared" si="27"/>
        <v>88</v>
      </c>
      <c r="B293" s="94" t="s">
        <v>352</v>
      </c>
      <c r="C293" s="77">
        <v>111.7</v>
      </c>
      <c r="D293" s="69">
        <v>0</v>
      </c>
      <c r="E293" s="32"/>
      <c r="F293" s="32"/>
      <c r="G293" s="32"/>
      <c r="H293" s="77">
        <v>111.7</v>
      </c>
      <c r="I293" s="78">
        <v>3814555</v>
      </c>
      <c r="J293" s="31">
        <f t="shared" si="28"/>
        <v>34150</v>
      </c>
      <c r="K293" s="32"/>
      <c r="L293" s="32"/>
      <c r="M293" s="32"/>
      <c r="N293" s="32"/>
      <c r="O293" s="32"/>
      <c r="P293" s="32"/>
      <c r="Q293" s="70">
        <f t="shared" si="29"/>
        <v>3814555</v>
      </c>
      <c r="R293" s="64">
        <v>0</v>
      </c>
      <c r="S293" s="31">
        <v>34150</v>
      </c>
      <c r="T293" s="31">
        <f t="shared" si="30"/>
        <v>25612.5</v>
      </c>
    </row>
    <row r="294" spans="1:20" ht="47.25">
      <c r="A294" s="12">
        <f t="shared" si="27"/>
        <v>89</v>
      </c>
      <c r="B294" s="94" t="s">
        <v>353</v>
      </c>
      <c r="C294" s="77">
        <v>109</v>
      </c>
      <c r="D294" s="69">
        <v>54</v>
      </c>
      <c r="E294" s="32"/>
      <c r="F294" s="32"/>
      <c r="G294" s="32"/>
      <c r="H294" s="77">
        <v>109</v>
      </c>
      <c r="I294" s="78">
        <v>3722350</v>
      </c>
      <c r="J294" s="31">
        <f t="shared" si="28"/>
        <v>34150</v>
      </c>
      <c r="K294" s="32"/>
      <c r="L294" s="32"/>
      <c r="M294" s="32"/>
      <c r="N294" s="32"/>
      <c r="O294" s="32"/>
      <c r="P294" s="32"/>
      <c r="Q294" s="70">
        <f t="shared" si="29"/>
        <v>3722350</v>
      </c>
      <c r="R294" s="64">
        <v>0</v>
      </c>
      <c r="S294" s="31">
        <v>34150</v>
      </c>
      <c r="T294" s="31">
        <f t="shared" si="30"/>
        <v>25612.5</v>
      </c>
    </row>
    <row r="295" spans="1:20" ht="47.25">
      <c r="A295" s="12">
        <f t="shared" si="27"/>
        <v>90</v>
      </c>
      <c r="B295" s="94" t="s">
        <v>354</v>
      </c>
      <c r="C295" s="77">
        <v>111.1</v>
      </c>
      <c r="D295" s="69">
        <v>111.1</v>
      </c>
      <c r="E295" s="32"/>
      <c r="F295" s="32"/>
      <c r="G295" s="32"/>
      <c r="H295" s="77">
        <v>111.1</v>
      </c>
      <c r="I295" s="78">
        <v>3794065</v>
      </c>
      <c r="J295" s="31">
        <f t="shared" si="28"/>
        <v>34150</v>
      </c>
      <c r="K295" s="32"/>
      <c r="L295" s="32"/>
      <c r="M295" s="32"/>
      <c r="N295" s="32"/>
      <c r="O295" s="32"/>
      <c r="P295" s="32"/>
      <c r="Q295" s="70">
        <f t="shared" si="29"/>
        <v>3794065</v>
      </c>
      <c r="R295" s="64">
        <v>0</v>
      </c>
      <c r="S295" s="31">
        <v>34150</v>
      </c>
      <c r="T295" s="31">
        <f t="shared" si="30"/>
        <v>25612.5</v>
      </c>
    </row>
    <row r="296" spans="1:20" ht="47.25">
      <c r="A296" s="12">
        <f t="shared" si="27"/>
        <v>91</v>
      </c>
      <c r="B296" s="94" t="s">
        <v>355</v>
      </c>
      <c r="C296" s="77">
        <v>107.7</v>
      </c>
      <c r="D296" s="69">
        <v>54.3</v>
      </c>
      <c r="E296" s="32"/>
      <c r="F296" s="32"/>
      <c r="G296" s="32"/>
      <c r="H296" s="77">
        <v>107.7</v>
      </c>
      <c r="I296" s="78">
        <v>3677955</v>
      </c>
      <c r="J296" s="31">
        <f t="shared" si="28"/>
        <v>34150</v>
      </c>
      <c r="K296" s="32"/>
      <c r="L296" s="32"/>
      <c r="M296" s="32"/>
      <c r="N296" s="32"/>
      <c r="O296" s="32"/>
      <c r="P296" s="32"/>
      <c r="Q296" s="70">
        <f t="shared" si="29"/>
        <v>3677955</v>
      </c>
      <c r="R296" s="64">
        <v>0</v>
      </c>
      <c r="S296" s="31">
        <v>34150</v>
      </c>
      <c r="T296" s="31">
        <f t="shared" si="30"/>
        <v>25612.5</v>
      </c>
    </row>
    <row r="297" spans="1:20" ht="47.25">
      <c r="A297" s="12">
        <f t="shared" si="27"/>
        <v>92</v>
      </c>
      <c r="B297" s="94" t="s">
        <v>356</v>
      </c>
      <c r="C297" s="77">
        <v>108.7</v>
      </c>
      <c r="D297" s="69">
        <v>0</v>
      </c>
      <c r="E297" s="32"/>
      <c r="F297" s="32"/>
      <c r="G297" s="32"/>
      <c r="H297" s="77">
        <v>108.7</v>
      </c>
      <c r="I297" s="78">
        <v>3712105</v>
      </c>
      <c r="J297" s="31">
        <f t="shared" si="28"/>
        <v>34150</v>
      </c>
      <c r="K297" s="32"/>
      <c r="L297" s="32"/>
      <c r="M297" s="32"/>
      <c r="N297" s="32"/>
      <c r="O297" s="32"/>
      <c r="P297" s="32"/>
      <c r="Q297" s="70">
        <f t="shared" si="29"/>
        <v>3712105</v>
      </c>
      <c r="R297" s="64">
        <v>0</v>
      </c>
      <c r="S297" s="31">
        <v>34150</v>
      </c>
      <c r="T297" s="31">
        <f t="shared" si="30"/>
        <v>25612.5</v>
      </c>
    </row>
    <row r="298" spans="1:20" ht="47.25">
      <c r="A298" s="12">
        <f t="shared" si="27"/>
        <v>93</v>
      </c>
      <c r="B298" s="94" t="s">
        <v>357</v>
      </c>
      <c r="C298" s="77">
        <v>108.1</v>
      </c>
      <c r="D298" s="69">
        <v>108.1</v>
      </c>
      <c r="E298" s="32"/>
      <c r="F298" s="32"/>
      <c r="G298" s="32"/>
      <c r="H298" s="77">
        <v>108.1</v>
      </c>
      <c r="I298" s="78">
        <v>3691615</v>
      </c>
      <c r="J298" s="31">
        <f t="shared" si="28"/>
        <v>34150</v>
      </c>
      <c r="K298" s="32"/>
      <c r="L298" s="32"/>
      <c r="M298" s="32"/>
      <c r="N298" s="32"/>
      <c r="O298" s="32"/>
      <c r="P298" s="32"/>
      <c r="Q298" s="70">
        <f t="shared" si="29"/>
        <v>3691615</v>
      </c>
      <c r="R298" s="64">
        <v>0</v>
      </c>
      <c r="S298" s="31">
        <v>34150</v>
      </c>
      <c r="T298" s="31">
        <f t="shared" si="30"/>
        <v>25612.5</v>
      </c>
    </row>
    <row r="299" spans="1:20" ht="47.25">
      <c r="A299" s="12">
        <f t="shared" si="27"/>
        <v>94</v>
      </c>
      <c r="B299" s="94" t="s">
        <v>358</v>
      </c>
      <c r="C299" s="77">
        <v>64.2</v>
      </c>
      <c r="D299" s="69">
        <v>64.2</v>
      </c>
      <c r="E299" s="32"/>
      <c r="F299" s="32"/>
      <c r="G299" s="32"/>
      <c r="H299" s="77">
        <v>64.2</v>
      </c>
      <c r="I299" s="78">
        <v>2192430</v>
      </c>
      <c r="J299" s="31">
        <f t="shared" si="28"/>
        <v>34150</v>
      </c>
      <c r="K299" s="32"/>
      <c r="L299" s="32"/>
      <c r="M299" s="32"/>
      <c r="N299" s="32"/>
      <c r="O299" s="32"/>
      <c r="P299" s="32"/>
      <c r="Q299" s="70">
        <f t="shared" si="29"/>
        <v>2192430</v>
      </c>
      <c r="R299" s="64">
        <v>0</v>
      </c>
      <c r="S299" s="31">
        <v>34150</v>
      </c>
      <c r="T299" s="31">
        <f t="shared" si="30"/>
        <v>25612.5</v>
      </c>
    </row>
    <row r="300" spans="1:20" ht="47.25">
      <c r="A300" s="12">
        <f t="shared" si="27"/>
        <v>95</v>
      </c>
      <c r="B300" s="94" t="s">
        <v>359</v>
      </c>
      <c r="C300" s="77">
        <v>86.5</v>
      </c>
      <c r="D300" s="69">
        <v>0</v>
      </c>
      <c r="E300" s="32"/>
      <c r="F300" s="32"/>
      <c r="G300" s="32"/>
      <c r="H300" s="77">
        <v>86.5</v>
      </c>
      <c r="I300" s="78">
        <v>2953975</v>
      </c>
      <c r="J300" s="31">
        <f t="shared" si="28"/>
        <v>34150</v>
      </c>
      <c r="K300" s="32"/>
      <c r="L300" s="32"/>
      <c r="M300" s="32"/>
      <c r="N300" s="32"/>
      <c r="O300" s="32"/>
      <c r="P300" s="32"/>
      <c r="Q300" s="70">
        <f t="shared" si="29"/>
        <v>2953975</v>
      </c>
      <c r="R300" s="64">
        <v>0</v>
      </c>
      <c r="S300" s="31">
        <v>34150</v>
      </c>
      <c r="T300" s="31">
        <f t="shared" si="30"/>
        <v>25612.5</v>
      </c>
    </row>
    <row r="301" spans="1:20" ht="47.25">
      <c r="A301" s="12">
        <f t="shared" si="27"/>
        <v>96</v>
      </c>
      <c r="B301" s="94" t="s">
        <v>360</v>
      </c>
      <c r="C301" s="77">
        <v>86</v>
      </c>
      <c r="D301" s="69">
        <v>0</v>
      </c>
      <c r="E301" s="32"/>
      <c r="F301" s="32"/>
      <c r="G301" s="32"/>
      <c r="H301" s="77">
        <v>86</v>
      </c>
      <c r="I301" s="78">
        <v>2936900</v>
      </c>
      <c r="J301" s="31">
        <f t="shared" si="28"/>
        <v>34150</v>
      </c>
      <c r="K301" s="32"/>
      <c r="L301" s="32"/>
      <c r="M301" s="32"/>
      <c r="N301" s="32"/>
      <c r="O301" s="32"/>
      <c r="P301" s="32"/>
      <c r="Q301" s="70">
        <f t="shared" si="29"/>
        <v>2936900</v>
      </c>
      <c r="R301" s="64">
        <v>0</v>
      </c>
      <c r="S301" s="31">
        <v>34150</v>
      </c>
      <c r="T301" s="31">
        <f t="shared" si="30"/>
        <v>25612.5</v>
      </c>
    </row>
    <row r="302" spans="1:20" ht="47.25">
      <c r="A302" s="12">
        <f t="shared" si="27"/>
        <v>97</v>
      </c>
      <c r="B302" s="94" t="s">
        <v>361</v>
      </c>
      <c r="C302" s="77">
        <v>97.4</v>
      </c>
      <c r="D302" s="69">
        <v>97.4</v>
      </c>
      <c r="E302" s="32"/>
      <c r="F302" s="32"/>
      <c r="G302" s="32"/>
      <c r="H302" s="77">
        <v>97.4</v>
      </c>
      <c r="I302" s="78">
        <v>3326210</v>
      </c>
      <c r="J302" s="31">
        <f t="shared" si="28"/>
        <v>34150</v>
      </c>
      <c r="K302" s="32"/>
      <c r="L302" s="32"/>
      <c r="M302" s="32"/>
      <c r="N302" s="32"/>
      <c r="O302" s="32"/>
      <c r="P302" s="32"/>
      <c r="Q302" s="70">
        <f t="shared" si="29"/>
        <v>3326210</v>
      </c>
      <c r="R302" s="64">
        <v>0</v>
      </c>
      <c r="S302" s="31">
        <v>34150</v>
      </c>
      <c r="T302" s="31">
        <f t="shared" si="30"/>
        <v>25612.5</v>
      </c>
    </row>
    <row r="303" spans="1:20" ht="31.5">
      <c r="A303" s="12">
        <f t="shared" si="27"/>
        <v>98</v>
      </c>
      <c r="B303" s="94" t="s">
        <v>362</v>
      </c>
      <c r="C303" s="77">
        <v>104.9</v>
      </c>
      <c r="D303" s="69">
        <v>26.4</v>
      </c>
      <c r="E303" s="32"/>
      <c r="F303" s="32"/>
      <c r="G303" s="32"/>
      <c r="H303" s="77">
        <v>104.9</v>
      </c>
      <c r="I303" s="78">
        <v>3582335</v>
      </c>
      <c r="J303" s="31">
        <f t="shared" si="28"/>
        <v>34150</v>
      </c>
      <c r="K303" s="32"/>
      <c r="L303" s="32"/>
      <c r="M303" s="32"/>
      <c r="N303" s="32"/>
      <c r="O303" s="32"/>
      <c r="P303" s="32"/>
      <c r="Q303" s="70">
        <f t="shared" si="29"/>
        <v>3582335</v>
      </c>
      <c r="R303" s="64">
        <v>0</v>
      </c>
      <c r="S303" s="31">
        <v>34150</v>
      </c>
      <c r="T303" s="31">
        <f t="shared" si="30"/>
        <v>25612.5</v>
      </c>
    </row>
    <row r="304" spans="1:20" ht="47.25">
      <c r="A304" s="12">
        <f t="shared" si="27"/>
        <v>99</v>
      </c>
      <c r="B304" s="94" t="s">
        <v>363</v>
      </c>
      <c r="C304" s="77">
        <v>83.1</v>
      </c>
      <c r="D304" s="69">
        <v>83.1</v>
      </c>
      <c r="E304" s="32"/>
      <c r="F304" s="32"/>
      <c r="G304" s="32"/>
      <c r="H304" s="77">
        <v>83.1</v>
      </c>
      <c r="I304" s="78">
        <v>2837865</v>
      </c>
      <c r="J304" s="31">
        <f t="shared" si="28"/>
        <v>34150</v>
      </c>
      <c r="K304" s="32"/>
      <c r="L304" s="32"/>
      <c r="M304" s="32"/>
      <c r="N304" s="32"/>
      <c r="O304" s="32"/>
      <c r="P304" s="32"/>
      <c r="Q304" s="70">
        <f t="shared" si="29"/>
        <v>2837865</v>
      </c>
      <c r="R304" s="64">
        <v>0</v>
      </c>
      <c r="S304" s="31">
        <v>34150</v>
      </c>
      <c r="T304" s="31">
        <f t="shared" si="30"/>
        <v>25612.5</v>
      </c>
    </row>
    <row r="305" spans="1:20" ht="47.25">
      <c r="A305" s="12">
        <f t="shared" si="27"/>
        <v>100</v>
      </c>
      <c r="B305" s="94" t="s">
        <v>364</v>
      </c>
      <c r="C305" s="77">
        <v>55.7</v>
      </c>
      <c r="D305" s="69">
        <v>55.7</v>
      </c>
      <c r="E305" s="32"/>
      <c r="F305" s="32"/>
      <c r="G305" s="32"/>
      <c r="H305" s="77">
        <v>55.7</v>
      </c>
      <c r="I305" s="78">
        <v>1902155</v>
      </c>
      <c r="J305" s="31">
        <f t="shared" si="28"/>
        <v>34150</v>
      </c>
      <c r="K305" s="32"/>
      <c r="L305" s="32"/>
      <c r="M305" s="32"/>
      <c r="N305" s="32"/>
      <c r="O305" s="32"/>
      <c r="P305" s="32"/>
      <c r="Q305" s="70">
        <f t="shared" si="29"/>
        <v>1902155</v>
      </c>
      <c r="R305" s="64">
        <v>0</v>
      </c>
      <c r="S305" s="31">
        <v>34150</v>
      </c>
      <c r="T305" s="31">
        <f t="shared" si="30"/>
        <v>25612.5</v>
      </c>
    </row>
    <row r="306" spans="1:20" ht="31.5">
      <c r="A306" s="12">
        <f t="shared" si="27"/>
        <v>101</v>
      </c>
      <c r="B306" s="94" t="s">
        <v>365</v>
      </c>
      <c r="C306" s="77">
        <v>88.4</v>
      </c>
      <c r="D306" s="69">
        <v>88.4</v>
      </c>
      <c r="E306" s="32"/>
      <c r="F306" s="32"/>
      <c r="G306" s="32"/>
      <c r="H306" s="77">
        <v>88.4</v>
      </c>
      <c r="I306" s="78">
        <v>3018860</v>
      </c>
      <c r="J306" s="31">
        <f t="shared" si="28"/>
        <v>34150</v>
      </c>
      <c r="K306" s="32"/>
      <c r="L306" s="32"/>
      <c r="M306" s="32"/>
      <c r="N306" s="32"/>
      <c r="O306" s="32"/>
      <c r="P306" s="32"/>
      <c r="Q306" s="70">
        <f t="shared" si="29"/>
        <v>3018860</v>
      </c>
      <c r="R306" s="64">
        <v>0</v>
      </c>
      <c r="S306" s="31">
        <v>34150</v>
      </c>
      <c r="T306" s="31">
        <f t="shared" si="30"/>
        <v>25612.5</v>
      </c>
    </row>
    <row r="307" spans="1:20" ht="47.25">
      <c r="A307" s="12">
        <f t="shared" si="27"/>
        <v>102</v>
      </c>
      <c r="B307" s="94" t="s">
        <v>366</v>
      </c>
      <c r="C307" s="77">
        <v>95</v>
      </c>
      <c r="D307" s="69">
        <v>32.9</v>
      </c>
      <c r="E307" s="32"/>
      <c r="F307" s="32"/>
      <c r="G307" s="32"/>
      <c r="H307" s="77">
        <v>95</v>
      </c>
      <c r="I307" s="78">
        <v>3244250</v>
      </c>
      <c r="J307" s="31">
        <f t="shared" si="28"/>
        <v>34150</v>
      </c>
      <c r="K307" s="32"/>
      <c r="L307" s="32"/>
      <c r="M307" s="32"/>
      <c r="N307" s="32"/>
      <c r="O307" s="32"/>
      <c r="P307" s="32"/>
      <c r="Q307" s="70">
        <f t="shared" si="29"/>
        <v>3244250</v>
      </c>
      <c r="R307" s="64">
        <v>0</v>
      </c>
      <c r="S307" s="31">
        <v>34150</v>
      </c>
      <c r="T307" s="31">
        <f t="shared" si="30"/>
        <v>25612.5</v>
      </c>
    </row>
    <row r="308" spans="1:20" ht="47.25">
      <c r="A308" s="12">
        <f t="shared" si="27"/>
        <v>103</v>
      </c>
      <c r="B308" s="94" t="s">
        <v>302</v>
      </c>
      <c r="C308" s="77">
        <v>193</v>
      </c>
      <c r="D308" s="69">
        <v>157.8</v>
      </c>
      <c r="E308" s="32"/>
      <c r="F308" s="32"/>
      <c r="G308" s="32"/>
      <c r="H308" s="77">
        <v>193</v>
      </c>
      <c r="I308" s="78">
        <v>6590950</v>
      </c>
      <c r="J308" s="31">
        <f t="shared" si="28"/>
        <v>34150</v>
      </c>
      <c r="K308" s="32"/>
      <c r="L308" s="32"/>
      <c r="M308" s="32"/>
      <c r="N308" s="32"/>
      <c r="O308" s="32"/>
      <c r="P308" s="32"/>
      <c r="Q308" s="70">
        <f t="shared" si="29"/>
        <v>6590950</v>
      </c>
      <c r="R308" s="64">
        <v>0</v>
      </c>
      <c r="S308" s="31">
        <v>34150</v>
      </c>
      <c r="T308" s="31">
        <f t="shared" si="30"/>
        <v>25612.5</v>
      </c>
    </row>
    <row r="309" spans="1:20" ht="47.25">
      <c r="A309" s="12">
        <f t="shared" si="27"/>
        <v>104</v>
      </c>
      <c r="B309" s="94" t="s">
        <v>303</v>
      </c>
      <c r="C309" s="77">
        <v>100.4</v>
      </c>
      <c r="D309" s="69">
        <v>100.4</v>
      </c>
      <c r="E309" s="32"/>
      <c r="F309" s="32"/>
      <c r="G309" s="32"/>
      <c r="H309" s="77">
        <v>100.4</v>
      </c>
      <c r="I309" s="78">
        <v>3428660</v>
      </c>
      <c r="J309" s="31">
        <f t="shared" si="28"/>
        <v>34150</v>
      </c>
      <c r="K309" s="32"/>
      <c r="L309" s="32"/>
      <c r="M309" s="32"/>
      <c r="N309" s="32"/>
      <c r="O309" s="32"/>
      <c r="P309" s="32"/>
      <c r="Q309" s="70">
        <f t="shared" si="29"/>
        <v>3428660</v>
      </c>
      <c r="R309" s="64">
        <v>0</v>
      </c>
      <c r="S309" s="31">
        <v>34150</v>
      </c>
      <c r="T309" s="31">
        <f t="shared" si="30"/>
        <v>25612.5</v>
      </c>
    </row>
    <row r="310" spans="1:20" ht="47.25">
      <c r="A310" s="12">
        <f t="shared" si="27"/>
        <v>105</v>
      </c>
      <c r="B310" s="94" t="s">
        <v>304</v>
      </c>
      <c r="C310" s="77">
        <v>86.5</v>
      </c>
      <c r="D310" s="69">
        <v>21.6</v>
      </c>
      <c r="E310" s="32"/>
      <c r="F310" s="32"/>
      <c r="G310" s="32"/>
      <c r="H310" s="77">
        <v>86.5</v>
      </c>
      <c r="I310" s="78">
        <v>2953975</v>
      </c>
      <c r="J310" s="31">
        <f t="shared" si="28"/>
        <v>34150</v>
      </c>
      <c r="K310" s="32"/>
      <c r="L310" s="32"/>
      <c r="M310" s="32"/>
      <c r="N310" s="32"/>
      <c r="O310" s="32"/>
      <c r="P310" s="32"/>
      <c r="Q310" s="70">
        <f t="shared" si="29"/>
        <v>2953975</v>
      </c>
      <c r="R310" s="64">
        <v>0</v>
      </c>
      <c r="S310" s="31">
        <v>34150</v>
      </c>
      <c r="T310" s="31">
        <f t="shared" si="30"/>
        <v>25612.5</v>
      </c>
    </row>
    <row r="311" spans="1:20" ht="47.25">
      <c r="A311" s="12">
        <f t="shared" si="27"/>
        <v>106</v>
      </c>
      <c r="B311" s="94" t="s">
        <v>305</v>
      </c>
      <c r="C311" s="77">
        <v>108.3</v>
      </c>
      <c r="D311" s="69">
        <v>108.3</v>
      </c>
      <c r="E311" s="32"/>
      <c r="F311" s="32"/>
      <c r="G311" s="32"/>
      <c r="H311" s="77">
        <v>108.3</v>
      </c>
      <c r="I311" s="78">
        <v>3698445</v>
      </c>
      <c r="J311" s="31">
        <f t="shared" si="28"/>
        <v>34150</v>
      </c>
      <c r="K311" s="32"/>
      <c r="L311" s="32"/>
      <c r="M311" s="32"/>
      <c r="N311" s="32"/>
      <c r="O311" s="32"/>
      <c r="P311" s="32"/>
      <c r="Q311" s="70">
        <f t="shared" si="29"/>
        <v>3698445</v>
      </c>
      <c r="R311" s="64">
        <v>0</v>
      </c>
      <c r="S311" s="31">
        <v>34150</v>
      </c>
      <c r="T311" s="31">
        <f t="shared" si="30"/>
        <v>25612.5</v>
      </c>
    </row>
    <row r="312" spans="1:20" ht="47.25">
      <c r="A312" s="12">
        <f t="shared" si="27"/>
        <v>107</v>
      </c>
      <c r="B312" s="94" t="s">
        <v>367</v>
      </c>
      <c r="C312" s="77">
        <v>107.4</v>
      </c>
      <c r="D312" s="69">
        <v>0</v>
      </c>
      <c r="E312" s="32"/>
      <c r="F312" s="32"/>
      <c r="G312" s="32"/>
      <c r="H312" s="77">
        <v>107.4</v>
      </c>
      <c r="I312" s="78">
        <v>3667710</v>
      </c>
      <c r="J312" s="31">
        <f t="shared" si="28"/>
        <v>34150</v>
      </c>
      <c r="K312" s="32"/>
      <c r="L312" s="32"/>
      <c r="M312" s="32"/>
      <c r="N312" s="32"/>
      <c r="O312" s="32"/>
      <c r="P312" s="32"/>
      <c r="Q312" s="70">
        <f t="shared" si="29"/>
        <v>3667710</v>
      </c>
      <c r="R312" s="64">
        <v>0</v>
      </c>
      <c r="S312" s="31">
        <v>34150</v>
      </c>
      <c r="T312" s="31">
        <f t="shared" si="30"/>
        <v>25612.5</v>
      </c>
    </row>
    <row r="313" spans="1:20" ht="47.25">
      <c r="A313" s="12">
        <f t="shared" si="27"/>
        <v>108</v>
      </c>
      <c r="B313" s="94" t="s">
        <v>368</v>
      </c>
      <c r="C313" s="77">
        <v>125.6</v>
      </c>
      <c r="D313" s="69">
        <v>125.6</v>
      </c>
      <c r="E313" s="32"/>
      <c r="F313" s="32"/>
      <c r="G313" s="32"/>
      <c r="H313" s="77">
        <v>125.6</v>
      </c>
      <c r="I313" s="78">
        <v>4289240</v>
      </c>
      <c r="J313" s="31">
        <f t="shared" si="28"/>
        <v>34150</v>
      </c>
      <c r="K313" s="32"/>
      <c r="L313" s="32"/>
      <c r="M313" s="32"/>
      <c r="N313" s="32"/>
      <c r="O313" s="32"/>
      <c r="P313" s="32"/>
      <c r="Q313" s="70">
        <f t="shared" si="29"/>
        <v>4289240</v>
      </c>
      <c r="R313" s="64">
        <v>0</v>
      </c>
      <c r="S313" s="31">
        <v>34150</v>
      </c>
      <c r="T313" s="31">
        <f t="shared" si="30"/>
        <v>25612.5</v>
      </c>
    </row>
    <row r="314" spans="1:20" ht="47.25">
      <c r="A314" s="12">
        <f t="shared" si="27"/>
        <v>109</v>
      </c>
      <c r="B314" s="94" t="s">
        <v>369</v>
      </c>
      <c r="C314" s="77">
        <v>108</v>
      </c>
      <c r="D314" s="69">
        <v>54.5</v>
      </c>
      <c r="E314" s="32"/>
      <c r="F314" s="32"/>
      <c r="G314" s="32"/>
      <c r="H314" s="77">
        <v>108</v>
      </c>
      <c r="I314" s="78">
        <v>3688200</v>
      </c>
      <c r="J314" s="31">
        <f t="shared" si="28"/>
        <v>34150</v>
      </c>
      <c r="K314" s="32"/>
      <c r="L314" s="32"/>
      <c r="M314" s="32"/>
      <c r="N314" s="32"/>
      <c r="O314" s="32"/>
      <c r="P314" s="32"/>
      <c r="Q314" s="70">
        <f t="shared" si="29"/>
        <v>3688200</v>
      </c>
      <c r="R314" s="64">
        <v>0</v>
      </c>
      <c r="S314" s="31">
        <v>34150</v>
      </c>
      <c r="T314" s="31">
        <f t="shared" si="30"/>
        <v>25612.5</v>
      </c>
    </row>
    <row r="315" spans="1:20" ht="47.25">
      <c r="A315" s="12">
        <f t="shared" si="27"/>
        <v>110</v>
      </c>
      <c r="B315" s="94" t="s">
        <v>370</v>
      </c>
      <c r="C315" s="77">
        <v>77.5</v>
      </c>
      <c r="D315" s="69">
        <v>11.8</v>
      </c>
      <c r="E315" s="32"/>
      <c r="F315" s="32"/>
      <c r="G315" s="32"/>
      <c r="H315" s="77">
        <v>77.5</v>
      </c>
      <c r="I315" s="78">
        <v>2646625</v>
      </c>
      <c r="J315" s="31">
        <f t="shared" si="28"/>
        <v>34150</v>
      </c>
      <c r="K315" s="32"/>
      <c r="L315" s="32"/>
      <c r="M315" s="32"/>
      <c r="N315" s="32"/>
      <c r="O315" s="32"/>
      <c r="P315" s="32"/>
      <c r="Q315" s="70">
        <f t="shared" si="29"/>
        <v>2646625</v>
      </c>
      <c r="R315" s="64">
        <v>0</v>
      </c>
      <c r="S315" s="31">
        <v>34150</v>
      </c>
      <c r="T315" s="31">
        <f t="shared" si="30"/>
        <v>25612.5</v>
      </c>
    </row>
    <row r="316" spans="1:20" ht="31.5">
      <c r="A316" s="12">
        <f aca="true" t="shared" si="31" ref="A316:A361">A315+1</f>
        <v>111</v>
      </c>
      <c r="B316" s="94" t="s">
        <v>371</v>
      </c>
      <c r="C316" s="77">
        <v>75.7</v>
      </c>
      <c r="D316" s="69">
        <v>0</v>
      </c>
      <c r="E316" s="32"/>
      <c r="F316" s="32"/>
      <c r="G316" s="32"/>
      <c r="H316" s="77">
        <v>75.7</v>
      </c>
      <c r="I316" s="78">
        <v>2585155</v>
      </c>
      <c r="J316" s="31">
        <f t="shared" si="28"/>
        <v>34150</v>
      </c>
      <c r="K316" s="32"/>
      <c r="L316" s="32"/>
      <c r="M316" s="32"/>
      <c r="N316" s="32"/>
      <c r="O316" s="32"/>
      <c r="P316" s="32"/>
      <c r="Q316" s="70">
        <f t="shared" si="29"/>
        <v>2585155</v>
      </c>
      <c r="R316" s="64">
        <v>0</v>
      </c>
      <c r="S316" s="31">
        <v>34150</v>
      </c>
      <c r="T316" s="31">
        <f t="shared" si="30"/>
        <v>25612.5</v>
      </c>
    </row>
    <row r="317" spans="1:20" ht="31.5">
      <c r="A317" s="12">
        <f t="shared" si="31"/>
        <v>112</v>
      </c>
      <c r="B317" s="94" t="s">
        <v>372</v>
      </c>
      <c r="C317" s="77">
        <v>66.1</v>
      </c>
      <c r="D317" s="69">
        <v>0</v>
      </c>
      <c r="E317" s="32"/>
      <c r="F317" s="32"/>
      <c r="G317" s="32"/>
      <c r="H317" s="77">
        <v>66.1</v>
      </c>
      <c r="I317" s="78">
        <v>2257315</v>
      </c>
      <c r="J317" s="31">
        <f t="shared" si="28"/>
        <v>34150</v>
      </c>
      <c r="K317" s="32"/>
      <c r="L317" s="32"/>
      <c r="M317" s="32"/>
      <c r="N317" s="32"/>
      <c r="O317" s="32"/>
      <c r="P317" s="32"/>
      <c r="Q317" s="70">
        <f t="shared" si="29"/>
        <v>2257315</v>
      </c>
      <c r="R317" s="64">
        <v>0</v>
      </c>
      <c r="S317" s="31">
        <v>34150</v>
      </c>
      <c r="T317" s="31">
        <f t="shared" si="30"/>
        <v>25612.5</v>
      </c>
    </row>
    <row r="318" spans="1:20" ht="31.5">
      <c r="A318" s="12">
        <f t="shared" si="31"/>
        <v>113</v>
      </c>
      <c r="B318" s="94" t="s">
        <v>373</v>
      </c>
      <c r="C318" s="77">
        <v>100.2</v>
      </c>
      <c r="D318" s="69">
        <v>0</v>
      </c>
      <c r="E318" s="32"/>
      <c r="F318" s="32"/>
      <c r="G318" s="32"/>
      <c r="H318" s="77">
        <v>100.2</v>
      </c>
      <c r="I318" s="78">
        <v>3421830</v>
      </c>
      <c r="J318" s="31">
        <f t="shared" si="28"/>
        <v>34150</v>
      </c>
      <c r="K318" s="32"/>
      <c r="L318" s="32"/>
      <c r="M318" s="32"/>
      <c r="N318" s="32"/>
      <c r="O318" s="32"/>
      <c r="P318" s="32"/>
      <c r="Q318" s="70">
        <f t="shared" si="29"/>
        <v>3421830</v>
      </c>
      <c r="R318" s="64">
        <v>0</v>
      </c>
      <c r="S318" s="31">
        <v>34150</v>
      </c>
      <c r="T318" s="31">
        <f t="shared" si="30"/>
        <v>25612.5</v>
      </c>
    </row>
    <row r="319" spans="1:20" ht="31.5">
      <c r="A319" s="12">
        <f t="shared" si="31"/>
        <v>114</v>
      </c>
      <c r="B319" s="94" t="s">
        <v>374</v>
      </c>
      <c r="C319" s="77">
        <v>62.4</v>
      </c>
      <c r="D319" s="69">
        <v>31.9</v>
      </c>
      <c r="E319" s="32"/>
      <c r="F319" s="32"/>
      <c r="G319" s="32"/>
      <c r="H319" s="77">
        <v>62.4</v>
      </c>
      <c r="I319" s="78">
        <v>2130960</v>
      </c>
      <c r="J319" s="31">
        <f t="shared" si="28"/>
        <v>34150</v>
      </c>
      <c r="K319" s="32"/>
      <c r="L319" s="32"/>
      <c r="M319" s="32"/>
      <c r="N319" s="32"/>
      <c r="O319" s="32"/>
      <c r="P319" s="32"/>
      <c r="Q319" s="70">
        <f t="shared" si="29"/>
        <v>2130960</v>
      </c>
      <c r="R319" s="64">
        <v>0</v>
      </c>
      <c r="S319" s="31">
        <v>34150</v>
      </c>
      <c r="T319" s="31">
        <f t="shared" si="30"/>
        <v>25612.5</v>
      </c>
    </row>
    <row r="320" spans="1:20" ht="47.25">
      <c r="A320" s="12">
        <f t="shared" si="31"/>
        <v>115</v>
      </c>
      <c r="B320" s="94" t="s">
        <v>375</v>
      </c>
      <c r="C320" s="77">
        <v>171.6</v>
      </c>
      <c r="D320" s="69">
        <v>112.6</v>
      </c>
      <c r="E320" s="32"/>
      <c r="F320" s="32"/>
      <c r="G320" s="32"/>
      <c r="H320" s="77">
        <v>171.6</v>
      </c>
      <c r="I320" s="78">
        <v>5860140</v>
      </c>
      <c r="J320" s="31">
        <f t="shared" si="28"/>
        <v>34150</v>
      </c>
      <c r="K320" s="32"/>
      <c r="L320" s="32"/>
      <c r="M320" s="32"/>
      <c r="N320" s="32"/>
      <c r="O320" s="32"/>
      <c r="P320" s="32"/>
      <c r="Q320" s="70">
        <f t="shared" si="29"/>
        <v>5860140</v>
      </c>
      <c r="R320" s="64">
        <v>0</v>
      </c>
      <c r="S320" s="31">
        <v>34150</v>
      </c>
      <c r="T320" s="31">
        <f t="shared" si="30"/>
        <v>25612.5</v>
      </c>
    </row>
    <row r="321" spans="1:20" ht="47.25">
      <c r="A321" s="12">
        <f t="shared" si="31"/>
        <v>116</v>
      </c>
      <c r="B321" s="94" t="s">
        <v>376</v>
      </c>
      <c r="C321" s="77">
        <v>58</v>
      </c>
      <c r="D321" s="69">
        <v>58</v>
      </c>
      <c r="E321" s="32"/>
      <c r="F321" s="32"/>
      <c r="G321" s="32"/>
      <c r="H321" s="77">
        <v>58</v>
      </c>
      <c r="I321" s="78">
        <v>1980700</v>
      </c>
      <c r="J321" s="31">
        <f t="shared" si="28"/>
        <v>34150</v>
      </c>
      <c r="K321" s="32"/>
      <c r="L321" s="32"/>
      <c r="M321" s="32"/>
      <c r="N321" s="32"/>
      <c r="O321" s="32"/>
      <c r="P321" s="32"/>
      <c r="Q321" s="70">
        <f t="shared" si="29"/>
        <v>1980700</v>
      </c>
      <c r="R321" s="64">
        <v>0</v>
      </c>
      <c r="S321" s="31">
        <v>34150</v>
      </c>
      <c r="T321" s="31">
        <f t="shared" si="30"/>
        <v>25612.5</v>
      </c>
    </row>
    <row r="322" spans="1:20" ht="47.25">
      <c r="A322" s="12">
        <f t="shared" si="31"/>
        <v>117</v>
      </c>
      <c r="B322" s="94" t="s">
        <v>377</v>
      </c>
      <c r="C322" s="77">
        <v>85.5</v>
      </c>
      <c r="D322" s="69">
        <v>43.3</v>
      </c>
      <c r="E322" s="32"/>
      <c r="F322" s="32"/>
      <c r="G322" s="32"/>
      <c r="H322" s="77">
        <v>85.5</v>
      </c>
      <c r="I322" s="78">
        <v>2919825</v>
      </c>
      <c r="J322" s="31">
        <f t="shared" si="28"/>
        <v>34150</v>
      </c>
      <c r="K322" s="32"/>
      <c r="L322" s="32"/>
      <c r="M322" s="32"/>
      <c r="N322" s="32"/>
      <c r="O322" s="32"/>
      <c r="P322" s="32"/>
      <c r="Q322" s="70">
        <f t="shared" si="29"/>
        <v>2919825</v>
      </c>
      <c r="R322" s="64">
        <v>0</v>
      </c>
      <c r="S322" s="31">
        <v>34150</v>
      </c>
      <c r="T322" s="31">
        <f t="shared" si="30"/>
        <v>25612.5</v>
      </c>
    </row>
    <row r="323" spans="1:20" ht="47.25">
      <c r="A323" s="12">
        <f t="shared" si="31"/>
        <v>118</v>
      </c>
      <c r="B323" s="94" t="s">
        <v>378</v>
      </c>
      <c r="C323" s="77">
        <v>84.9</v>
      </c>
      <c r="D323" s="69">
        <v>84.9</v>
      </c>
      <c r="E323" s="32"/>
      <c r="F323" s="32"/>
      <c r="G323" s="32"/>
      <c r="H323" s="77">
        <v>84.9</v>
      </c>
      <c r="I323" s="78">
        <v>2899335</v>
      </c>
      <c r="J323" s="31">
        <f t="shared" si="28"/>
        <v>34150</v>
      </c>
      <c r="K323" s="32"/>
      <c r="L323" s="32"/>
      <c r="M323" s="32"/>
      <c r="N323" s="32"/>
      <c r="O323" s="32"/>
      <c r="P323" s="32"/>
      <c r="Q323" s="70">
        <f t="shared" si="29"/>
        <v>2899335</v>
      </c>
      <c r="R323" s="64">
        <v>0</v>
      </c>
      <c r="S323" s="31">
        <v>34150</v>
      </c>
      <c r="T323" s="31">
        <f t="shared" si="30"/>
        <v>25612.5</v>
      </c>
    </row>
    <row r="324" spans="1:20" ht="47.25">
      <c r="A324" s="12">
        <f t="shared" si="31"/>
        <v>119</v>
      </c>
      <c r="B324" s="94" t="s">
        <v>379</v>
      </c>
      <c r="C324" s="77">
        <v>87.7</v>
      </c>
      <c r="D324" s="69">
        <v>87.7</v>
      </c>
      <c r="E324" s="32"/>
      <c r="F324" s="32"/>
      <c r="G324" s="32"/>
      <c r="H324" s="77">
        <v>87.7</v>
      </c>
      <c r="I324" s="78">
        <v>2994955</v>
      </c>
      <c r="J324" s="31">
        <f t="shared" si="28"/>
        <v>34150</v>
      </c>
      <c r="K324" s="32"/>
      <c r="L324" s="32"/>
      <c r="M324" s="32"/>
      <c r="N324" s="32"/>
      <c r="O324" s="32"/>
      <c r="P324" s="32"/>
      <c r="Q324" s="70">
        <f t="shared" si="29"/>
        <v>2994955</v>
      </c>
      <c r="R324" s="64">
        <v>0</v>
      </c>
      <c r="S324" s="31">
        <v>34150</v>
      </c>
      <c r="T324" s="31">
        <f t="shared" si="30"/>
        <v>25612.5</v>
      </c>
    </row>
    <row r="325" spans="1:20" ht="47.25">
      <c r="A325" s="12">
        <f t="shared" si="31"/>
        <v>120</v>
      </c>
      <c r="B325" s="94" t="s">
        <v>380</v>
      </c>
      <c r="C325" s="77">
        <v>88.4</v>
      </c>
      <c r="D325" s="69">
        <v>88.4</v>
      </c>
      <c r="E325" s="32"/>
      <c r="F325" s="32"/>
      <c r="G325" s="32"/>
      <c r="H325" s="77">
        <v>88.4</v>
      </c>
      <c r="I325" s="78">
        <v>3018860</v>
      </c>
      <c r="J325" s="31">
        <f t="shared" si="28"/>
        <v>34150</v>
      </c>
      <c r="K325" s="32"/>
      <c r="L325" s="32"/>
      <c r="M325" s="32"/>
      <c r="N325" s="32"/>
      <c r="O325" s="32"/>
      <c r="P325" s="32"/>
      <c r="Q325" s="70">
        <f t="shared" si="29"/>
        <v>3018860</v>
      </c>
      <c r="R325" s="64">
        <v>0</v>
      </c>
      <c r="S325" s="31">
        <v>34150</v>
      </c>
      <c r="T325" s="31">
        <f t="shared" si="30"/>
        <v>25612.5</v>
      </c>
    </row>
    <row r="326" spans="1:20" ht="47.25">
      <c r="A326" s="12">
        <f t="shared" si="31"/>
        <v>121</v>
      </c>
      <c r="B326" s="94" t="s">
        <v>381</v>
      </c>
      <c r="C326" s="77">
        <v>135.5</v>
      </c>
      <c r="D326" s="69">
        <v>33.9</v>
      </c>
      <c r="E326" s="32"/>
      <c r="F326" s="32"/>
      <c r="G326" s="32"/>
      <c r="H326" s="77">
        <v>135.5</v>
      </c>
      <c r="I326" s="78">
        <v>4627325</v>
      </c>
      <c r="J326" s="31">
        <f t="shared" si="28"/>
        <v>34150</v>
      </c>
      <c r="K326" s="32"/>
      <c r="L326" s="32"/>
      <c r="M326" s="32"/>
      <c r="N326" s="32"/>
      <c r="O326" s="32"/>
      <c r="P326" s="32"/>
      <c r="Q326" s="70">
        <f t="shared" si="29"/>
        <v>4627325</v>
      </c>
      <c r="R326" s="64">
        <v>0</v>
      </c>
      <c r="S326" s="31">
        <v>34150</v>
      </c>
      <c r="T326" s="31">
        <f t="shared" si="30"/>
        <v>25612.5</v>
      </c>
    </row>
    <row r="327" spans="1:20" ht="47.25">
      <c r="A327" s="12">
        <f t="shared" si="31"/>
        <v>122</v>
      </c>
      <c r="B327" s="94" t="s">
        <v>382</v>
      </c>
      <c r="C327" s="77">
        <v>248.3</v>
      </c>
      <c r="D327" s="69">
        <v>198.7</v>
      </c>
      <c r="E327" s="32"/>
      <c r="F327" s="32"/>
      <c r="G327" s="32"/>
      <c r="H327" s="77">
        <v>248.3</v>
      </c>
      <c r="I327" s="78">
        <v>8479445</v>
      </c>
      <c r="J327" s="31">
        <f t="shared" si="28"/>
        <v>34150</v>
      </c>
      <c r="K327" s="32"/>
      <c r="L327" s="32"/>
      <c r="M327" s="32"/>
      <c r="N327" s="32"/>
      <c r="O327" s="32"/>
      <c r="P327" s="32"/>
      <c r="Q327" s="70">
        <f t="shared" si="29"/>
        <v>8479445</v>
      </c>
      <c r="R327" s="64">
        <v>0</v>
      </c>
      <c r="S327" s="31">
        <v>34150</v>
      </c>
      <c r="T327" s="31">
        <f t="shared" si="30"/>
        <v>25612.5</v>
      </c>
    </row>
    <row r="328" spans="1:20" ht="47.25">
      <c r="A328" s="12">
        <f t="shared" si="31"/>
        <v>123</v>
      </c>
      <c r="B328" s="94" t="s">
        <v>383</v>
      </c>
      <c r="C328" s="77">
        <v>159.1</v>
      </c>
      <c r="D328" s="69">
        <v>159.1</v>
      </c>
      <c r="E328" s="32"/>
      <c r="F328" s="32"/>
      <c r="G328" s="32"/>
      <c r="H328" s="77">
        <v>159.1</v>
      </c>
      <c r="I328" s="78">
        <v>5433265</v>
      </c>
      <c r="J328" s="31">
        <f t="shared" si="28"/>
        <v>34150</v>
      </c>
      <c r="K328" s="32"/>
      <c r="L328" s="32"/>
      <c r="M328" s="32"/>
      <c r="N328" s="32"/>
      <c r="O328" s="32"/>
      <c r="P328" s="32"/>
      <c r="Q328" s="70">
        <f t="shared" si="29"/>
        <v>5433265</v>
      </c>
      <c r="R328" s="64">
        <v>0</v>
      </c>
      <c r="S328" s="31">
        <v>34150</v>
      </c>
      <c r="T328" s="31">
        <f t="shared" si="30"/>
        <v>25612.5</v>
      </c>
    </row>
    <row r="329" spans="1:20" ht="47.25">
      <c r="A329" s="12">
        <f t="shared" si="31"/>
        <v>124</v>
      </c>
      <c r="B329" s="94" t="s">
        <v>384</v>
      </c>
      <c r="C329" s="77">
        <v>208.8</v>
      </c>
      <c r="D329" s="69">
        <v>130.1</v>
      </c>
      <c r="E329" s="32"/>
      <c r="F329" s="32"/>
      <c r="G329" s="32"/>
      <c r="H329" s="77">
        <v>208.8</v>
      </c>
      <c r="I329" s="78">
        <v>7130520</v>
      </c>
      <c r="J329" s="31">
        <f aca="true" t="shared" si="32" ref="J329:J392">I329/H329</f>
        <v>34150</v>
      </c>
      <c r="K329" s="32"/>
      <c r="L329" s="32"/>
      <c r="M329" s="32"/>
      <c r="N329" s="32"/>
      <c r="O329" s="32"/>
      <c r="P329" s="32"/>
      <c r="Q329" s="70">
        <f aca="true" t="shared" si="33" ref="Q329:Q392">I329</f>
        <v>7130520</v>
      </c>
      <c r="R329" s="64">
        <v>0</v>
      </c>
      <c r="S329" s="31">
        <v>34150</v>
      </c>
      <c r="T329" s="31">
        <f t="shared" si="30"/>
        <v>25612.5</v>
      </c>
    </row>
    <row r="330" spans="1:20" ht="47.25">
      <c r="A330" s="12">
        <f t="shared" si="31"/>
        <v>125</v>
      </c>
      <c r="B330" s="94" t="s">
        <v>385</v>
      </c>
      <c r="C330" s="77">
        <v>123.8</v>
      </c>
      <c r="D330" s="69">
        <v>92.7</v>
      </c>
      <c r="E330" s="32"/>
      <c r="F330" s="32"/>
      <c r="G330" s="32"/>
      <c r="H330" s="77">
        <v>123.8</v>
      </c>
      <c r="I330" s="78">
        <v>4227770</v>
      </c>
      <c r="J330" s="31">
        <f t="shared" si="32"/>
        <v>34150</v>
      </c>
      <c r="K330" s="32"/>
      <c r="L330" s="32"/>
      <c r="M330" s="32"/>
      <c r="N330" s="32"/>
      <c r="O330" s="32"/>
      <c r="P330" s="32"/>
      <c r="Q330" s="70">
        <f t="shared" si="33"/>
        <v>4227770</v>
      </c>
      <c r="R330" s="64">
        <v>0</v>
      </c>
      <c r="S330" s="31">
        <v>34150</v>
      </c>
      <c r="T330" s="31">
        <f aca="true" t="shared" si="34" ref="T330:T393">S330/4*3</f>
        <v>25612.5</v>
      </c>
    </row>
    <row r="331" spans="1:20" ht="47.25">
      <c r="A331" s="12">
        <f t="shared" si="31"/>
        <v>126</v>
      </c>
      <c r="B331" s="94" t="s">
        <v>386</v>
      </c>
      <c r="C331" s="77">
        <v>99.3</v>
      </c>
      <c r="D331" s="69">
        <v>99.3</v>
      </c>
      <c r="E331" s="32"/>
      <c r="F331" s="32"/>
      <c r="G331" s="32"/>
      <c r="H331" s="77">
        <v>99.3</v>
      </c>
      <c r="I331" s="78">
        <v>3391095</v>
      </c>
      <c r="J331" s="31">
        <f t="shared" si="32"/>
        <v>34150</v>
      </c>
      <c r="K331" s="32"/>
      <c r="L331" s="32"/>
      <c r="M331" s="32"/>
      <c r="N331" s="32"/>
      <c r="O331" s="32"/>
      <c r="P331" s="32"/>
      <c r="Q331" s="70">
        <f t="shared" si="33"/>
        <v>3391095</v>
      </c>
      <c r="R331" s="64">
        <v>0</v>
      </c>
      <c r="S331" s="31">
        <v>34150</v>
      </c>
      <c r="T331" s="31">
        <f t="shared" si="34"/>
        <v>25612.5</v>
      </c>
    </row>
    <row r="332" spans="1:20" ht="47.25">
      <c r="A332" s="12">
        <f t="shared" si="31"/>
        <v>127</v>
      </c>
      <c r="B332" s="94" t="s">
        <v>387</v>
      </c>
      <c r="C332" s="77">
        <v>126.7</v>
      </c>
      <c r="D332" s="69">
        <v>63.8</v>
      </c>
      <c r="E332" s="32"/>
      <c r="F332" s="32"/>
      <c r="G332" s="32"/>
      <c r="H332" s="77">
        <v>126.7</v>
      </c>
      <c r="I332" s="78">
        <v>4326805</v>
      </c>
      <c r="J332" s="31">
        <f t="shared" si="32"/>
        <v>34150</v>
      </c>
      <c r="K332" s="32"/>
      <c r="L332" s="32"/>
      <c r="M332" s="32"/>
      <c r="N332" s="32"/>
      <c r="O332" s="32"/>
      <c r="P332" s="32"/>
      <c r="Q332" s="70">
        <f t="shared" si="33"/>
        <v>4326805</v>
      </c>
      <c r="R332" s="64">
        <v>0</v>
      </c>
      <c r="S332" s="31">
        <v>34150</v>
      </c>
      <c r="T332" s="31">
        <f t="shared" si="34"/>
        <v>25612.5</v>
      </c>
    </row>
    <row r="333" spans="1:20" ht="47.25">
      <c r="A333" s="12">
        <f t="shared" si="31"/>
        <v>128</v>
      </c>
      <c r="B333" s="94" t="s">
        <v>388</v>
      </c>
      <c r="C333" s="77">
        <v>86.4</v>
      </c>
      <c r="D333" s="69">
        <v>64.8</v>
      </c>
      <c r="E333" s="32"/>
      <c r="F333" s="32"/>
      <c r="G333" s="32"/>
      <c r="H333" s="77">
        <v>86.4</v>
      </c>
      <c r="I333" s="78">
        <v>2950560</v>
      </c>
      <c r="J333" s="31">
        <f t="shared" si="32"/>
        <v>34150</v>
      </c>
      <c r="K333" s="32"/>
      <c r="L333" s="32"/>
      <c r="M333" s="32"/>
      <c r="N333" s="32"/>
      <c r="O333" s="32"/>
      <c r="P333" s="32"/>
      <c r="Q333" s="70">
        <f t="shared" si="33"/>
        <v>2950560</v>
      </c>
      <c r="R333" s="64">
        <v>0</v>
      </c>
      <c r="S333" s="31">
        <v>34150</v>
      </c>
      <c r="T333" s="31">
        <f t="shared" si="34"/>
        <v>25612.5</v>
      </c>
    </row>
    <row r="334" spans="1:20" ht="47.25">
      <c r="A334" s="12">
        <f t="shared" si="31"/>
        <v>129</v>
      </c>
      <c r="B334" s="94" t="s">
        <v>389</v>
      </c>
      <c r="C334" s="77">
        <v>127.3</v>
      </c>
      <c r="D334" s="69">
        <v>63.9</v>
      </c>
      <c r="E334" s="32"/>
      <c r="F334" s="32"/>
      <c r="G334" s="32"/>
      <c r="H334" s="77">
        <v>127.3</v>
      </c>
      <c r="I334" s="78">
        <v>4347295</v>
      </c>
      <c r="J334" s="31">
        <f t="shared" si="32"/>
        <v>34150</v>
      </c>
      <c r="K334" s="32"/>
      <c r="L334" s="32"/>
      <c r="M334" s="32"/>
      <c r="N334" s="32"/>
      <c r="O334" s="32"/>
      <c r="P334" s="32"/>
      <c r="Q334" s="70">
        <f t="shared" si="33"/>
        <v>4347295</v>
      </c>
      <c r="R334" s="64">
        <v>0</v>
      </c>
      <c r="S334" s="31">
        <v>34150</v>
      </c>
      <c r="T334" s="31">
        <f t="shared" si="34"/>
        <v>25612.5</v>
      </c>
    </row>
    <row r="335" spans="1:20" ht="47.25">
      <c r="A335" s="12">
        <f t="shared" si="31"/>
        <v>130</v>
      </c>
      <c r="B335" s="94" t="s">
        <v>390</v>
      </c>
      <c r="C335" s="77">
        <v>122.8</v>
      </c>
      <c r="D335" s="69">
        <v>61.2</v>
      </c>
      <c r="E335" s="32"/>
      <c r="F335" s="32"/>
      <c r="G335" s="32"/>
      <c r="H335" s="77">
        <v>122.8</v>
      </c>
      <c r="I335" s="78">
        <v>4193620</v>
      </c>
      <c r="J335" s="31">
        <f t="shared" si="32"/>
        <v>34150</v>
      </c>
      <c r="K335" s="32"/>
      <c r="L335" s="32"/>
      <c r="M335" s="32"/>
      <c r="N335" s="32"/>
      <c r="O335" s="32"/>
      <c r="P335" s="32"/>
      <c r="Q335" s="70">
        <f t="shared" si="33"/>
        <v>4193620</v>
      </c>
      <c r="R335" s="64">
        <v>0</v>
      </c>
      <c r="S335" s="31">
        <v>34150</v>
      </c>
      <c r="T335" s="31">
        <f t="shared" si="34"/>
        <v>25612.5</v>
      </c>
    </row>
    <row r="336" spans="1:20" ht="47.25">
      <c r="A336" s="12">
        <f t="shared" si="31"/>
        <v>131</v>
      </c>
      <c r="B336" s="94" t="s">
        <v>391</v>
      </c>
      <c r="C336" s="77">
        <v>89.1</v>
      </c>
      <c r="D336" s="69">
        <v>22.6</v>
      </c>
      <c r="E336" s="32"/>
      <c r="F336" s="32"/>
      <c r="G336" s="32"/>
      <c r="H336" s="77">
        <v>89.1</v>
      </c>
      <c r="I336" s="78">
        <v>3042765</v>
      </c>
      <c r="J336" s="31">
        <f t="shared" si="32"/>
        <v>34150</v>
      </c>
      <c r="K336" s="32"/>
      <c r="L336" s="32"/>
      <c r="M336" s="32"/>
      <c r="N336" s="32"/>
      <c r="O336" s="32"/>
      <c r="P336" s="32"/>
      <c r="Q336" s="70">
        <f t="shared" si="33"/>
        <v>3042765</v>
      </c>
      <c r="R336" s="64">
        <v>0</v>
      </c>
      <c r="S336" s="31">
        <v>34150</v>
      </c>
      <c r="T336" s="31">
        <f t="shared" si="34"/>
        <v>25612.5</v>
      </c>
    </row>
    <row r="337" spans="1:20" ht="47.25">
      <c r="A337" s="12">
        <f t="shared" si="31"/>
        <v>132</v>
      </c>
      <c r="B337" s="94" t="s">
        <v>392</v>
      </c>
      <c r="C337" s="77">
        <v>114</v>
      </c>
      <c r="D337" s="69">
        <v>114</v>
      </c>
      <c r="E337" s="32"/>
      <c r="F337" s="32"/>
      <c r="G337" s="32"/>
      <c r="H337" s="77">
        <v>114</v>
      </c>
      <c r="I337" s="78">
        <v>3893100</v>
      </c>
      <c r="J337" s="31">
        <f t="shared" si="32"/>
        <v>34150</v>
      </c>
      <c r="K337" s="32"/>
      <c r="L337" s="32"/>
      <c r="M337" s="32"/>
      <c r="N337" s="32"/>
      <c r="O337" s="32"/>
      <c r="P337" s="32"/>
      <c r="Q337" s="70">
        <f t="shared" si="33"/>
        <v>3893100</v>
      </c>
      <c r="R337" s="64">
        <v>0</v>
      </c>
      <c r="S337" s="31">
        <v>34150</v>
      </c>
      <c r="T337" s="31">
        <f t="shared" si="34"/>
        <v>25612.5</v>
      </c>
    </row>
    <row r="338" spans="1:20" ht="47.25">
      <c r="A338" s="12">
        <f t="shared" si="31"/>
        <v>133</v>
      </c>
      <c r="B338" s="94" t="s">
        <v>393</v>
      </c>
      <c r="C338" s="77">
        <v>98.3</v>
      </c>
      <c r="D338" s="69">
        <v>55.8</v>
      </c>
      <c r="E338" s="32"/>
      <c r="F338" s="32"/>
      <c r="G338" s="32"/>
      <c r="H338" s="77">
        <v>98.3</v>
      </c>
      <c r="I338" s="78">
        <v>3356945</v>
      </c>
      <c r="J338" s="31">
        <f t="shared" si="32"/>
        <v>34150</v>
      </c>
      <c r="K338" s="32"/>
      <c r="L338" s="32"/>
      <c r="M338" s="32"/>
      <c r="N338" s="32"/>
      <c r="O338" s="32"/>
      <c r="P338" s="32"/>
      <c r="Q338" s="70">
        <f t="shared" si="33"/>
        <v>3356945</v>
      </c>
      <c r="R338" s="64">
        <v>0</v>
      </c>
      <c r="S338" s="31">
        <v>34150</v>
      </c>
      <c r="T338" s="31">
        <f t="shared" si="34"/>
        <v>25612.5</v>
      </c>
    </row>
    <row r="339" spans="1:20" ht="47.25">
      <c r="A339" s="12">
        <f t="shared" si="31"/>
        <v>134</v>
      </c>
      <c r="B339" s="94" t="s">
        <v>394</v>
      </c>
      <c r="C339" s="77">
        <v>87.5</v>
      </c>
      <c r="D339" s="69">
        <v>87.5</v>
      </c>
      <c r="E339" s="32"/>
      <c r="F339" s="32"/>
      <c r="G339" s="32"/>
      <c r="H339" s="77">
        <v>87.5</v>
      </c>
      <c r="I339" s="78">
        <v>2988125</v>
      </c>
      <c r="J339" s="31">
        <f t="shared" si="32"/>
        <v>34150</v>
      </c>
      <c r="K339" s="32"/>
      <c r="L339" s="32"/>
      <c r="M339" s="32"/>
      <c r="N339" s="32"/>
      <c r="O339" s="32"/>
      <c r="P339" s="32"/>
      <c r="Q339" s="70">
        <f t="shared" si="33"/>
        <v>2988125</v>
      </c>
      <c r="R339" s="64">
        <v>0</v>
      </c>
      <c r="S339" s="31">
        <v>34150</v>
      </c>
      <c r="T339" s="31">
        <f t="shared" si="34"/>
        <v>25612.5</v>
      </c>
    </row>
    <row r="340" spans="1:20" ht="47.25">
      <c r="A340" s="12">
        <f t="shared" si="31"/>
        <v>135</v>
      </c>
      <c r="B340" s="94" t="s">
        <v>306</v>
      </c>
      <c r="C340" s="77">
        <v>80.1</v>
      </c>
      <c r="D340" s="69">
        <v>80.1</v>
      </c>
      <c r="E340" s="32"/>
      <c r="F340" s="32"/>
      <c r="G340" s="32"/>
      <c r="H340" s="77">
        <v>80.1</v>
      </c>
      <c r="I340" s="78">
        <v>2735415</v>
      </c>
      <c r="J340" s="31">
        <f t="shared" si="32"/>
        <v>34150</v>
      </c>
      <c r="K340" s="32"/>
      <c r="L340" s="32"/>
      <c r="M340" s="32"/>
      <c r="N340" s="32"/>
      <c r="O340" s="32"/>
      <c r="P340" s="32"/>
      <c r="Q340" s="70">
        <f t="shared" si="33"/>
        <v>2735415</v>
      </c>
      <c r="R340" s="64">
        <v>0</v>
      </c>
      <c r="S340" s="31">
        <v>34150</v>
      </c>
      <c r="T340" s="31">
        <f t="shared" si="34"/>
        <v>25612.5</v>
      </c>
    </row>
    <row r="341" spans="1:20" ht="47.25">
      <c r="A341" s="12">
        <f t="shared" si="31"/>
        <v>136</v>
      </c>
      <c r="B341" s="94" t="s">
        <v>307</v>
      </c>
      <c r="C341" s="77">
        <v>82.2</v>
      </c>
      <c r="D341" s="69">
        <v>82.2</v>
      </c>
      <c r="E341" s="32"/>
      <c r="F341" s="32"/>
      <c r="G341" s="32"/>
      <c r="H341" s="77">
        <v>82.2</v>
      </c>
      <c r="I341" s="78">
        <v>2807130</v>
      </c>
      <c r="J341" s="31">
        <f t="shared" si="32"/>
        <v>34150</v>
      </c>
      <c r="K341" s="32"/>
      <c r="L341" s="32"/>
      <c r="M341" s="32"/>
      <c r="N341" s="32"/>
      <c r="O341" s="32"/>
      <c r="P341" s="32"/>
      <c r="Q341" s="70">
        <f t="shared" si="33"/>
        <v>2807130</v>
      </c>
      <c r="R341" s="64">
        <v>0</v>
      </c>
      <c r="S341" s="31">
        <v>34150</v>
      </c>
      <c r="T341" s="31">
        <f t="shared" si="34"/>
        <v>25612.5</v>
      </c>
    </row>
    <row r="342" spans="1:20" ht="47.25">
      <c r="A342" s="12">
        <f t="shared" si="31"/>
        <v>137</v>
      </c>
      <c r="B342" s="94" t="s">
        <v>395</v>
      </c>
      <c r="C342" s="77">
        <v>207.4</v>
      </c>
      <c r="D342" s="69">
        <v>81.7</v>
      </c>
      <c r="E342" s="32"/>
      <c r="F342" s="32"/>
      <c r="G342" s="32"/>
      <c r="H342" s="77">
        <v>207.4</v>
      </c>
      <c r="I342" s="78">
        <v>7082710</v>
      </c>
      <c r="J342" s="31">
        <f t="shared" si="32"/>
        <v>34150</v>
      </c>
      <c r="K342" s="32"/>
      <c r="L342" s="32"/>
      <c r="M342" s="32"/>
      <c r="N342" s="32"/>
      <c r="O342" s="32"/>
      <c r="P342" s="32"/>
      <c r="Q342" s="70">
        <f t="shared" si="33"/>
        <v>7082710</v>
      </c>
      <c r="R342" s="64">
        <v>0</v>
      </c>
      <c r="S342" s="31">
        <v>34150</v>
      </c>
      <c r="T342" s="31">
        <f t="shared" si="34"/>
        <v>25612.5</v>
      </c>
    </row>
    <row r="343" spans="1:20" ht="47.25">
      <c r="A343" s="12">
        <f t="shared" si="31"/>
        <v>138</v>
      </c>
      <c r="B343" s="94" t="s">
        <v>396</v>
      </c>
      <c r="C343" s="77">
        <v>234.7</v>
      </c>
      <c r="D343" s="69">
        <v>213.4</v>
      </c>
      <c r="E343" s="32"/>
      <c r="F343" s="32"/>
      <c r="G343" s="32"/>
      <c r="H343" s="77">
        <v>234.7</v>
      </c>
      <c r="I343" s="78">
        <v>8015005</v>
      </c>
      <c r="J343" s="31">
        <f t="shared" si="32"/>
        <v>34150</v>
      </c>
      <c r="K343" s="32"/>
      <c r="L343" s="32"/>
      <c r="M343" s="32"/>
      <c r="N343" s="32"/>
      <c r="O343" s="32"/>
      <c r="P343" s="32"/>
      <c r="Q343" s="70">
        <f t="shared" si="33"/>
        <v>8015005</v>
      </c>
      <c r="R343" s="64">
        <v>0</v>
      </c>
      <c r="S343" s="31">
        <v>34150</v>
      </c>
      <c r="T343" s="31">
        <f t="shared" si="34"/>
        <v>25612.5</v>
      </c>
    </row>
    <row r="344" spans="1:20" ht="31.5">
      <c r="A344" s="12">
        <f t="shared" si="31"/>
        <v>139</v>
      </c>
      <c r="B344" s="94" t="s">
        <v>397</v>
      </c>
      <c r="C344" s="77">
        <v>314.9</v>
      </c>
      <c r="D344" s="69">
        <v>151.2</v>
      </c>
      <c r="E344" s="32"/>
      <c r="F344" s="32"/>
      <c r="G344" s="32"/>
      <c r="H344" s="77">
        <v>314.9</v>
      </c>
      <c r="I344" s="78">
        <v>10753835</v>
      </c>
      <c r="J344" s="31">
        <f t="shared" si="32"/>
        <v>34150</v>
      </c>
      <c r="K344" s="32"/>
      <c r="L344" s="32"/>
      <c r="M344" s="32"/>
      <c r="N344" s="32"/>
      <c r="O344" s="32"/>
      <c r="P344" s="32"/>
      <c r="Q344" s="70">
        <f t="shared" si="33"/>
        <v>10753835</v>
      </c>
      <c r="R344" s="64">
        <v>0</v>
      </c>
      <c r="S344" s="31">
        <v>34150</v>
      </c>
      <c r="T344" s="31">
        <f t="shared" si="34"/>
        <v>25612.5</v>
      </c>
    </row>
    <row r="345" spans="1:20" ht="47.25">
      <c r="A345" s="12">
        <f t="shared" si="31"/>
        <v>140</v>
      </c>
      <c r="B345" s="94" t="s">
        <v>308</v>
      </c>
      <c r="C345" s="77">
        <v>72.4</v>
      </c>
      <c r="D345" s="69">
        <v>72.4</v>
      </c>
      <c r="E345" s="32"/>
      <c r="F345" s="32"/>
      <c r="G345" s="32"/>
      <c r="H345" s="77">
        <v>72.4</v>
      </c>
      <c r="I345" s="78">
        <v>2472460</v>
      </c>
      <c r="J345" s="31">
        <f t="shared" si="32"/>
        <v>34150</v>
      </c>
      <c r="K345" s="32"/>
      <c r="L345" s="32"/>
      <c r="M345" s="32"/>
      <c r="N345" s="32"/>
      <c r="O345" s="32"/>
      <c r="P345" s="32"/>
      <c r="Q345" s="70">
        <f t="shared" si="33"/>
        <v>2472460</v>
      </c>
      <c r="R345" s="64">
        <v>0</v>
      </c>
      <c r="S345" s="31">
        <v>34150</v>
      </c>
      <c r="T345" s="31">
        <f t="shared" si="34"/>
        <v>25612.5</v>
      </c>
    </row>
    <row r="346" spans="1:20" ht="31.5">
      <c r="A346" s="12">
        <f t="shared" si="31"/>
        <v>141</v>
      </c>
      <c r="B346" s="94" t="s">
        <v>398</v>
      </c>
      <c r="C346" s="77">
        <v>51.7</v>
      </c>
      <c r="D346" s="69">
        <v>0</v>
      </c>
      <c r="E346" s="32"/>
      <c r="F346" s="32"/>
      <c r="G346" s="32"/>
      <c r="H346" s="77">
        <v>51.7</v>
      </c>
      <c r="I346" s="78">
        <v>1765555</v>
      </c>
      <c r="J346" s="31">
        <f t="shared" si="32"/>
        <v>34150</v>
      </c>
      <c r="K346" s="32"/>
      <c r="L346" s="32"/>
      <c r="M346" s="32"/>
      <c r="N346" s="32"/>
      <c r="O346" s="32"/>
      <c r="P346" s="32"/>
      <c r="Q346" s="70">
        <f t="shared" si="33"/>
        <v>1765555</v>
      </c>
      <c r="R346" s="64">
        <v>0</v>
      </c>
      <c r="S346" s="31">
        <v>34150</v>
      </c>
      <c r="T346" s="31">
        <f t="shared" si="34"/>
        <v>25612.5</v>
      </c>
    </row>
    <row r="347" spans="1:20" ht="31.5">
      <c r="A347" s="12">
        <f t="shared" si="31"/>
        <v>142</v>
      </c>
      <c r="B347" s="94" t="s">
        <v>399</v>
      </c>
      <c r="C347" s="77">
        <v>126.7</v>
      </c>
      <c r="D347" s="69">
        <v>126.7</v>
      </c>
      <c r="E347" s="32"/>
      <c r="F347" s="32"/>
      <c r="G347" s="32"/>
      <c r="H347" s="77">
        <v>126.7</v>
      </c>
      <c r="I347" s="78">
        <v>4326805</v>
      </c>
      <c r="J347" s="31">
        <f t="shared" si="32"/>
        <v>34150</v>
      </c>
      <c r="K347" s="32"/>
      <c r="L347" s="32"/>
      <c r="M347" s="32"/>
      <c r="N347" s="32"/>
      <c r="O347" s="32"/>
      <c r="P347" s="32"/>
      <c r="Q347" s="70">
        <f t="shared" si="33"/>
        <v>4326805</v>
      </c>
      <c r="R347" s="64">
        <v>0</v>
      </c>
      <c r="S347" s="31">
        <v>34150</v>
      </c>
      <c r="T347" s="31">
        <f t="shared" si="34"/>
        <v>25612.5</v>
      </c>
    </row>
    <row r="348" spans="1:20" ht="47.25">
      <c r="A348" s="12">
        <f t="shared" si="31"/>
        <v>143</v>
      </c>
      <c r="B348" s="94" t="s">
        <v>309</v>
      </c>
      <c r="C348" s="77">
        <v>44.8</v>
      </c>
      <c r="D348" s="69">
        <v>44.8</v>
      </c>
      <c r="E348" s="32"/>
      <c r="F348" s="32"/>
      <c r="G348" s="32"/>
      <c r="H348" s="77">
        <v>44.8</v>
      </c>
      <c r="I348" s="78">
        <v>1529920</v>
      </c>
      <c r="J348" s="31">
        <f t="shared" si="32"/>
        <v>34150</v>
      </c>
      <c r="K348" s="32"/>
      <c r="L348" s="32"/>
      <c r="M348" s="32"/>
      <c r="N348" s="32"/>
      <c r="O348" s="32"/>
      <c r="P348" s="32"/>
      <c r="Q348" s="70">
        <f t="shared" si="33"/>
        <v>1529920</v>
      </c>
      <c r="R348" s="64">
        <v>0</v>
      </c>
      <c r="S348" s="31">
        <v>34150</v>
      </c>
      <c r="T348" s="31">
        <f t="shared" si="34"/>
        <v>25612.5</v>
      </c>
    </row>
    <row r="349" spans="1:20" ht="47.25">
      <c r="A349" s="12">
        <f t="shared" si="31"/>
        <v>144</v>
      </c>
      <c r="B349" s="94" t="s">
        <v>400</v>
      </c>
      <c r="C349" s="77">
        <v>58</v>
      </c>
      <c r="D349" s="69">
        <v>58</v>
      </c>
      <c r="E349" s="32"/>
      <c r="F349" s="32"/>
      <c r="G349" s="32"/>
      <c r="H349" s="77">
        <v>58</v>
      </c>
      <c r="I349" s="78">
        <v>1980700</v>
      </c>
      <c r="J349" s="31">
        <f t="shared" si="32"/>
        <v>34150</v>
      </c>
      <c r="K349" s="32"/>
      <c r="L349" s="32"/>
      <c r="M349" s="32"/>
      <c r="N349" s="32"/>
      <c r="O349" s="32"/>
      <c r="P349" s="32"/>
      <c r="Q349" s="70">
        <f t="shared" si="33"/>
        <v>1980700</v>
      </c>
      <c r="R349" s="64">
        <v>0</v>
      </c>
      <c r="S349" s="31">
        <v>34150</v>
      </c>
      <c r="T349" s="31">
        <f t="shared" si="34"/>
        <v>25612.5</v>
      </c>
    </row>
    <row r="350" spans="1:20" ht="31.5">
      <c r="A350" s="12">
        <f t="shared" si="31"/>
        <v>145</v>
      </c>
      <c r="B350" s="94" t="s">
        <v>401</v>
      </c>
      <c r="C350" s="77">
        <v>246.1</v>
      </c>
      <c r="D350" s="69">
        <v>246.1</v>
      </c>
      <c r="E350" s="32"/>
      <c r="F350" s="32"/>
      <c r="G350" s="32"/>
      <c r="H350" s="77">
        <v>246.1</v>
      </c>
      <c r="I350" s="78">
        <v>8404315</v>
      </c>
      <c r="J350" s="31">
        <f t="shared" si="32"/>
        <v>34150</v>
      </c>
      <c r="K350" s="32"/>
      <c r="L350" s="32"/>
      <c r="M350" s="32"/>
      <c r="N350" s="32"/>
      <c r="O350" s="32"/>
      <c r="P350" s="32"/>
      <c r="Q350" s="70">
        <f t="shared" si="33"/>
        <v>8404315</v>
      </c>
      <c r="R350" s="64">
        <v>0</v>
      </c>
      <c r="S350" s="31">
        <v>34150</v>
      </c>
      <c r="T350" s="31">
        <f t="shared" si="34"/>
        <v>25612.5</v>
      </c>
    </row>
    <row r="351" spans="1:20" ht="47.25">
      <c r="A351" s="12">
        <f t="shared" si="31"/>
        <v>146</v>
      </c>
      <c r="B351" s="94" t="s">
        <v>402</v>
      </c>
      <c r="C351" s="77">
        <v>77.5</v>
      </c>
      <c r="D351" s="69">
        <v>77.5</v>
      </c>
      <c r="E351" s="32"/>
      <c r="F351" s="32"/>
      <c r="G351" s="32"/>
      <c r="H351" s="77">
        <v>77.5</v>
      </c>
      <c r="I351" s="78">
        <v>2646625</v>
      </c>
      <c r="J351" s="31">
        <f t="shared" si="32"/>
        <v>34150</v>
      </c>
      <c r="K351" s="32"/>
      <c r="L351" s="32"/>
      <c r="M351" s="32"/>
      <c r="N351" s="32"/>
      <c r="O351" s="32"/>
      <c r="P351" s="32"/>
      <c r="Q351" s="70">
        <f t="shared" si="33"/>
        <v>2646625</v>
      </c>
      <c r="R351" s="64">
        <v>0</v>
      </c>
      <c r="S351" s="31">
        <v>34150</v>
      </c>
      <c r="T351" s="31">
        <f t="shared" si="34"/>
        <v>25612.5</v>
      </c>
    </row>
    <row r="352" spans="1:20" ht="47.25">
      <c r="A352" s="12">
        <f t="shared" si="31"/>
        <v>147</v>
      </c>
      <c r="B352" s="94" t="s">
        <v>403</v>
      </c>
      <c r="C352" s="77">
        <v>68.7</v>
      </c>
      <c r="D352" s="69">
        <v>68.7</v>
      </c>
      <c r="E352" s="32"/>
      <c r="F352" s="32"/>
      <c r="G352" s="32"/>
      <c r="H352" s="77">
        <v>68.7</v>
      </c>
      <c r="I352" s="78">
        <v>2346105</v>
      </c>
      <c r="J352" s="31">
        <f t="shared" si="32"/>
        <v>34150</v>
      </c>
      <c r="K352" s="32"/>
      <c r="L352" s="32"/>
      <c r="M352" s="32"/>
      <c r="N352" s="32"/>
      <c r="O352" s="32"/>
      <c r="P352" s="32"/>
      <c r="Q352" s="70">
        <f t="shared" si="33"/>
        <v>2346105</v>
      </c>
      <c r="R352" s="64">
        <v>0</v>
      </c>
      <c r="S352" s="31">
        <v>34150</v>
      </c>
      <c r="T352" s="31">
        <f t="shared" si="34"/>
        <v>25612.5</v>
      </c>
    </row>
    <row r="353" spans="1:20" ht="47.25">
      <c r="A353" s="12">
        <f t="shared" si="31"/>
        <v>148</v>
      </c>
      <c r="B353" s="94" t="s">
        <v>404</v>
      </c>
      <c r="C353" s="77">
        <v>143.3</v>
      </c>
      <c r="D353" s="69">
        <v>97.7</v>
      </c>
      <c r="E353" s="32"/>
      <c r="F353" s="32"/>
      <c r="G353" s="32"/>
      <c r="H353" s="77">
        <v>143.3</v>
      </c>
      <c r="I353" s="78">
        <v>4893695</v>
      </c>
      <c r="J353" s="31">
        <f t="shared" si="32"/>
        <v>34150</v>
      </c>
      <c r="K353" s="32"/>
      <c r="L353" s="32"/>
      <c r="M353" s="32"/>
      <c r="N353" s="32"/>
      <c r="O353" s="32"/>
      <c r="P353" s="32"/>
      <c r="Q353" s="70">
        <f t="shared" si="33"/>
        <v>4893695</v>
      </c>
      <c r="R353" s="64">
        <v>0</v>
      </c>
      <c r="S353" s="31">
        <v>34150</v>
      </c>
      <c r="T353" s="31">
        <f t="shared" si="34"/>
        <v>25612.5</v>
      </c>
    </row>
    <row r="354" spans="1:20" ht="47.25">
      <c r="A354" s="12">
        <f t="shared" si="31"/>
        <v>149</v>
      </c>
      <c r="B354" s="94" t="s">
        <v>405</v>
      </c>
      <c r="C354" s="77">
        <v>47.8</v>
      </c>
      <c r="D354" s="69">
        <v>47.8</v>
      </c>
      <c r="E354" s="32"/>
      <c r="F354" s="32"/>
      <c r="G354" s="32"/>
      <c r="H354" s="77">
        <v>47.8</v>
      </c>
      <c r="I354" s="78">
        <v>1632370</v>
      </c>
      <c r="J354" s="31">
        <f t="shared" si="32"/>
        <v>34150</v>
      </c>
      <c r="K354" s="32"/>
      <c r="L354" s="32"/>
      <c r="M354" s="32"/>
      <c r="N354" s="32"/>
      <c r="O354" s="32"/>
      <c r="P354" s="32"/>
      <c r="Q354" s="70">
        <f t="shared" si="33"/>
        <v>1632370</v>
      </c>
      <c r="R354" s="64">
        <v>0</v>
      </c>
      <c r="S354" s="31">
        <v>34150</v>
      </c>
      <c r="T354" s="31">
        <f t="shared" si="34"/>
        <v>25612.5</v>
      </c>
    </row>
    <row r="355" spans="1:20" ht="63">
      <c r="A355" s="12">
        <f t="shared" si="31"/>
        <v>150</v>
      </c>
      <c r="B355" s="94" t="s">
        <v>406</v>
      </c>
      <c r="C355" s="77">
        <v>63.9</v>
      </c>
      <c r="D355" s="69">
        <v>63.9</v>
      </c>
      <c r="E355" s="32"/>
      <c r="F355" s="32"/>
      <c r="G355" s="32"/>
      <c r="H355" s="77">
        <v>63.9</v>
      </c>
      <c r="I355" s="78">
        <v>2182185</v>
      </c>
      <c r="J355" s="31">
        <f t="shared" si="32"/>
        <v>34150</v>
      </c>
      <c r="K355" s="32"/>
      <c r="L355" s="32"/>
      <c r="M355" s="32"/>
      <c r="N355" s="32"/>
      <c r="O355" s="32"/>
      <c r="P355" s="32"/>
      <c r="Q355" s="70">
        <f t="shared" si="33"/>
        <v>2182185</v>
      </c>
      <c r="R355" s="64">
        <v>0</v>
      </c>
      <c r="S355" s="31">
        <v>34150</v>
      </c>
      <c r="T355" s="31">
        <f t="shared" si="34"/>
        <v>25612.5</v>
      </c>
    </row>
    <row r="356" spans="1:20" ht="31.5">
      <c r="A356" s="12">
        <f t="shared" si="31"/>
        <v>151</v>
      </c>
      <c r="B356" s="94" t="s">
        <v>407</v>
      </c>
      <c r="C356" s="77">
        <v>100</v>
      </c>
      <c r="D356" s="69">
        <v>0</v>
      </c>
      <c r="E356" s="32"/>
      <c r="F356" s="32"/>
      <c r="G356" s="32"/>
      <c r="H356" s="77">
        <v>100</v>
      </c>
      <c r="I356" s="78">
        <v>3415000</v>
      </c>
      <c r="J356" s="31">
        <f t="shared" si="32"/>
        <v>34150</v>
      </c>
      <c r="K356" s="32"/>
      <c r="L356" s="32"/>
      <c r="M356" s="32"/>
      <c r="N356" s="32"/>
      <c r="O356" s="32"/>
      <c r="P356" s="32"/>
      <c r="Q356" s="70">
        <f t="shared" si="33"/>
        <v>3415000</v>
      </c>
      <c r="R356" s="64">
        <v>0</v>
      </c>
      <c r="S356" s="31">
        <v>34150</v>
      </c>
      <c r="T356" s="31">
        <f t="shared" si="34"/>
        <v>25612.5</v>
      </c>
    </row>
    <row r="357" spans="1:20" ht="31.5">
      <c r="A357" s="12">
        <f t="shared" si="31"/>
        <v>152</v>
      </c>
      <c r="B357" s="94" t="s">
        <v>408</v>
      </c>
      <c r="C357" s="77">
        <v>49.1</v>
      </c>
      <c r="D357" s="69">
        <v>49.1</v>
      </c>
      <c r="E357" s="32"/>
      <c r="F357" s="32"/>
      <c r="G357" s="32"/>
      <c r="H357" s="77">
        <v>49.1</v>
      </c>
      <c r="I357" s="78">
        <v>1676765</v>
      </c>
      <c r="J357" s="31">
        <f t="shared" si="32"/>
        <v>34150</v>
      </c>
      <c r="K357" s="32"/>
      <c r="L357" s="32"/>
      <c r="M357" s="32"/>
      <c r="N357" s="32"/>
      <c r="O357" s="32"/>
      <c r="P357" s="32"/>
      <c r="Q357" s="70">
        <f t="shared" si="33"/>
        <v>1676765</v>
      </c>
      <c r="R357" s="64">
        <v>0</v>
      </c>
      <c r="S357" s="31">
        <v>34150</v>
      </c>
      <c r="T357" s="31">
        <f t="shared" si="34"/>
        <v>25612.5</v>
      </c>
    </row>
    <row r="358" spans="1:20" ht="31.5">
      <c r="A358" s="12">
        <f t="shared" si="31"/>
        <v>153</v>
      </c>
      <c r="B358" s="94" t="s">
        <v>409</v>
      </c>
      <c r="C358" s="77">
        <v>116.3</v>
      </c>
      <c r="D358" s="69">
        <v>57.9</v>
      </c>
      <c r="E358" s="34"/>
      <c r="F358" s="34"/>
      <c r="G358" s="34"/>
      <c r="H358" s="77">
        <v>116.3</v>
      </c>
      <c r="I358" s="78">
        <v>3971645</v>
      </c>
      <c r="J358" s="31">
        <f t="shared" si="32"/>
        <v>34150</v>
      </c>
      <c r="K358" s="32"/>
      <c r="L358" s="34"/>
      <c r="M358" s="34"/>
      <c r="N358" s="34"/>
      <c r="O358" s="32"/>
      <c r="P358" s="32"/>
      <c r="Q358" s="70">
        <f t="shared" si="33"/>
        <v>3971645</v>
      </c>
      <c r="R358" s="63">
        <v>0</v>
      </c>
      <c r="S358" s="31">
        <v>34150</v>
      </c>
      <c r="T358" s="31">
        <f t="shared" si="34"/>
        <v>25612.5</v>
      </c>
    </row>
    <row r="359" spans="1:20" ht="47.25">
      <c r="A359" s="12">
        <f t="shared" si="31"/>
        <v>154</v>
      </c>
      <c r="B359" s="94" t="s">
        <v>410</v>
      </c>
      <c r="C359" s="77">
        <v>29</v>
      </c>
      <c r="D359" s="69">
        <v>29</v>
      </c>
      <c r="E359" s="34"/>
      <c r="F359" s="34"/>
      <c r="G359" s="34"/>
      <c r="H359" s="77">
        <v>29</v>
      </c>
      <c r="I359" s="78">
        <v>990350</v>
      </c>
      <c r="J359" s="31">
        <f t="shared" si="32"/>
        <v>34150</v>
      </c>
      <c r="K359" s="34"/>
      <c r="L359" s="34"/>
      <c r="M359" s="34"/>
      <c r="N359" s="34"/>
      <c r="O359" s="34"/>
      <c r="P359" s="34"/>
      <c r="Q359" s="70">
        <f t="shared" si="33"/>
        <v>990350</v>
      </c>
      <c r="R359" s="63">
        <v>0</v>
      </c>
      <c r="S359" s="31">
        <v>34150</v>
      </c>
      <c r="T359" s="31">
        <f t="shared" si="34"/>
        <v>25612.5</v>
      </c>
    </row>
    <row r="360" spans="1:20" ht="47.25">
      <c r="A360" s="12">
        <f t="shared" si="31"/>
        <v>155</v>
      </c>
      <c r="B360" s="94" t="s">
        <v>411</v>
      </c>
      <c r="C360" s="77">
        <v>86.3</v>
      </c>
      <c r="D360" s="69">
        <v>0</v>
      </c>
      <c r="E360" s="34"/>
      <c r="F360" s="34"/>
      <c r="G360" s="34"/>
      <c r="H360" s="77">
        <v>86.3</v>
      </c>
      <c r="I360" s="78">
        <v>2947145</v>
      </c>
      <c r="J360" s="31">
        <f t="shared" si="32"/>
        <v>34150</v>
      </c>
      <c r="K360" s="34"/>
      <c r="L360" s="34"/>
      <c r="M360" s="34"/>
      <c r="N360" s="34"/>
      <c r="O360" s="34"/>
      <c r="P360" s="34"/>
      <c r="Q360" s="70">
        <f t="shared" si="33"/>
        <v>2947145</v>
      </c>
      <c r="R360" s="63">
        <v>0</v>
      </c>
      <c r="S360" s="31">
        <v>34150</v>
      </c>
      <c r="T360" s="31">
        <f t="shared" si="34"/>
        <v>25612.5</v>
      </c>
    </row>
    <row r="361" spans="1:20" ht="47.25">
      <c r="A361" s="12">
        <f t="shared" si="31"/>
        <v>156</v>
      </c>
      <c r="B361" s="89" t="s">
        <v>412</v>
      </c>
      <c r="C361" s="77">
        <v>127</v>
      </c>
      <c r="D361" s="69">
        <v>63.5</v>
      </c>
      <c r="E361" s="53"/>
      <c r="F361" s="53"/>
      <c r="G361" s="53"/>
      <c r="H361" s="77">
        <v>127</v>
      </c>
      <c r="I361" s="78">
        <v>4337050</v>
      </c>
      <c r="J361" s="31">
        <f t="shared" si="32"/>
        <v>34150</v>
      </c>
      <c r="K361" s="53"/>
      <c r="L361" s="53"/>
      <c r="M361" s="53"/>
      <c r="N361" s="53"/>
      <c r="O361" s="53"/>
      <c r="P361" s="53"/>
      <c r="Q361" s="70">
        <f t="shared" si="33"/>
        <v>4337050</v>
      </c>
      <c r="R361" s="66">
        <v>0</v>
      </c>
      <c r="S361" s="31">
        <v>34150</v>
      </c>
      <c r="T361" s="31">
        <f t="shared" si="34"/>
        <v>25612.5</v>
      </c>
    </row>
    <row r="362" spans="1:20" ht="15.75">
      <c r="A362" s="187" t="s">
        <v>413</v>
      </c>
      <c r="B362" s="187"/>
      <c r="C362" s="31">
        <v>827</v>
      </c>
      <c r="D362" s="69">
        <v>536.1</v>
      </c>
      <c r="E362" s="34"/>
      <c r="F362" s="34"/>
      <c r="G362" s="34"/>
      <c r="H362" s="31">
        <v>827</v>
      </c>
      <c r="I362" s="65">
        <v>28242050</v>
      </c>
      <c r="J362" s="31">
        <f t="shared" si="32"/>
        <v>34150</v>
      </c>
      <c r="K362" s="34"/>
      <c r="L362" s="34"/>
      <c r="M362" s="34"/>
      <c r="N362" s="34"/>
      <c r="O362" s="34"/>
      <c r="P362" s="34"/>
      <c r="Q362" s="70">
        <f t="shared" si="33"/>
        <v>28242050</v>
      </c>
      <c r="R362" s="63">
        <v>0</v>
      </c>
      <c r="S362" s="31">
        <v>34150</v>
      </c>
      <c r="T362" s="31">
        <f t="shared" si="34"/>
        <v>25612.5</v>
      </c>
    </row>
    <row r="363" spans="1:20" ht="31.5">
      <c r="A363" s="10">
        <v>157</v>
      </c>
      <c r="B363" s="7" t="s">
        <v>414</v>
      </c>
      <c r="C363" s="31">
        <v>198.9</v>
      </c>
      <c r="D363" s="69">
        <v>142.9</v>
      </c>
      <c r="E363" s="34"/>
      <c r="F363" s="34"/>
      <c r="G363" s="34"/>
      <c r="H363" s="31">
        <v>198.9</v>
      </c>
      <c r="I363" s="65">
        <v>6792435</v>
      </c>
      <c r="J363" s="31">
        <f t="shared" si="32"/>
        <v>34150</v>
      </c>
      <c r="K363" s="34"/>
      <c r="L363" s="34"/>
      <c r="M363" s="34"/>
      <c r="N363" s="34"/>
      <c r="O363" s="34"/>
      <c r="P363" s="34"/>
      <c r="Q363" s="70">
        <f t="shared" si="33"/>
        <v>6792435</v>
      </c>
      <c r="R363" s="63">
        <v>0</v>
      </c>
      <c r="S363" s="31">
        <v>34150</v>
      </c>
      <c r="T363" s="31">
        <f t="shared" si="34"/>
        <v>25612.5</v>
      </c>
    </row>
    <row r="364" spans="1:20" ht="47.25">
      <c r="A364" s="10">
        <f>A363+1</f>
        <v>158</v>
      </c>
      <c r="B364" s="7" t="s">
        <v>651</v>
      </c>
      <c r="C364" s="31">
        <v>107.1</v>
      </c>
      <c r="D364" s="69">
        <v>55.3</v>
      </c>
      <c r="E364" s="34"/>
      <c r="F364" s="34"/>
      <c r="G364" s="34"/>
      <c r="H364" s="31">
        <v>107.1</v>
      </c>
      <c r="I364" s="65">
        <v>3657465</v>
      </c>
      <c r="J364" s="31">
        <f t="shared" si="32"/>
        <v>34150</v>
      </c>
      <c r="K364" s="34"/>
      <c r="L364" s="34"/>
      <c r="M364" s="34"/>
      <c r="N364" s="34"/>
      <c r="O364" s="34"/>
      <c r="P364" s="34"/>
      <c r="Q364" s="70">
        <f t="shared" si="33"/>
        <v>3657465</v>
      </c>
      <c r="R364" s="63">
        <v>0</v>
      </c>
      <c r="S364" s="31">
        <v>34150</v>
      </c>
      <c r="T364" s="31">
        <f t="shared" si="34"/>
        <v>25612.5</v>
      </c>
    </row>
    <row r="365" spans="1:20" ht="47.25">
      <c r="A365" s="10">
        <f>A364+1</f>
        <v>159</v>
      </c>
      <c r="B365" s="7" t="s">
        <v>652</v>
      </c>
      <c r="C365" s="31">
        <v>521</v>
      </c>
      <c r="D365" s="69">
        <v>337.9</v>
      </c>
      <c r="E365" s="34"/>
      <c r="F365" s="34"/>
      <c r="G365" s="34"/>
      <c r="H365" s="31">
        <v>521</v>
      </c>
      <c r="I365" s="65">
        <v>17792150</v>
      </c>
      <c r="J365" s="31">
        <f t="shared" si="32"/>
        <v>34150</v>
      </c>
      <c r="K365" s="34"/>
      <c r="L365" s="34"/>
      <c r="M365" s="34"/>
      <c r="N365" s="34"/>
      <c r="O365" s="34"/>
      <c r="P365" s="34"/>
      <c r="Q365" s="70">
        <f t="shared" si="33"/>
        <v>17792150</v>
      </c>
      <c r="R365" s="63">
        <v>0</v>
      </c>
      <c r="S365" s="31">
        <v>34150</v>
      </c>
      <c r="T365" s="31">
        <f t="shared" si="34"/>
        <v>25612.5</v>
      </c>
    </row>
    <row r="366" spans="1:20" ht="15.75">
      <c r="A366" s="153" t="s">
        <v>416</v>
      </c>
      <c r="B366" s="153"/>
      <c r="C366" s="82">
        <v>2927</v>
      </c>
      <c r="D366" s="69">
        <v>780.7</v>
      </c>
      <c r="E366" s="34"/>
      <c r="F366" s="34"/>
      <c r="G366" s="34"/>
      <c r="H366" s="82">
        <v>2927</v>
      </c>
      <c r="I366" s="81">
        <v>99957050</v>
      </c>
      <c r="J366" s="31">
        <f t="shared" si="32"/>
        <v>34150</v>
      </c>
      <c r="K366" s="34"/>
      <c r="L366" s="34"/>
      <c r="M366" s="34"/>
      <c r="N366" s="34"/>
      <c r="O366" s="34"/>
      <c r="P366" s="34"/>
      <c r="Q366" s="70">
        <f t="shared" si="33"/>
        <v>99957050</v>
      </c>
      <c r="R366" s="63">
        <v>0</v>
      </c>
      <c r="S366" s="31">
        <v>34150</v>
      </c>
      <c r="T366" s="31">
        <f t="shared" si="34"/>
        <v>25612.5</v>
      </c>
    </row>
    <row r="367" spans="1:20" ht="31.5">
      <c r="A367" s="54">
        <v>160</v>
      </c>
      <c r="B367" s="93" t="s">
        <v>417</v>
      </c>
      <c r="C367" s="82">
        <v>368.9</v>
      </c>
      <c r="D367" s="69">
        <v>159.6</v>
      </c>
      <c r="E367" s="34"/>
      <c r="F367" s="34"/>
      <c r="G367" s="34"/>
      <c r="H367" s="82">
        <v>368.9</v>
      </c>
      <c r="I367" s="81">
        <v>12597935</v>
      </c>
      <c r="J367" s="31">
        <f t="shared" si="32"/>
        <v>34150</v>
      </c>
      <c r="K367" s="34"/>
      <c r="L367" s="34"/>
      <c r="M367" s="34"/>
      <c r="N367" s="34"/>
      <c r="O367" s="34"/>
      <c r="P367" s="34"/>
      <c r="Q367" s="70">
        <f t="shared" si="33"/>
        <v>12597935</v>
      </c>
      <c r="R367" s="63">
        <v>0</v>
      </c>
      <c r="S367" s="31">
        <v>34150</v>
      </c>
      <c r="T367" s="31">
        <f t="shared" si="34"/>
        <v>25612.5</v>
      </c>
    </row>
    <row r="368" spans="1:20" ht="31.5">
      <c r="A368" s="54">
        <f>A367+1</f>
        <v>161</v>
      </c>
      <c r="B368" s="93" t="s">
        <v>418</v>
      </c>
      <c r="C368" s="82">
        <v>105.8</v>
      </c>
      <c r="D368" s="69">
        <v>21.6</v>
      </c>
      <c r="E368" s="34"/>
      <c r="F368" s="34"/>
      <c r="G368" s="34"/>
      <c r="H368" s="82">
        <v>105.8</v>
      </c>
      <c r="I368" s="81">
        <v>3613070</v>
      </c>
      <c r="J368" s="31">
        <f t="shared" si="32"/>
        <v>34150</v>
      </c>
      <c r="K368" s="34"/>
      <c r="L368" s="34"/>
      <c r="M368" s="34"/>
      <c r="N368" s="34"/>
      <c r="O368" s="34"/>
      <c r="P368" s="34"/>
      <c r="Q368" s="70">
        <f t="shared" si="33"/>
        <v>3613070</v>
      </c>
      <c r="R368" s="63">
        <v>0</v>
      </c>
      <c r="S368" s="31">
        <v>34150</v>
      </c>
      <c r="T368" s="31">
        <f t="shared" si="34"/>
        <v>25612.5</v>
      </c>
    </row>
    <row r="369" spans="1:20" ht="31.5">
      <c r="A369" s="54">
        <f aca="true" t="shared" si="35" ref="A369:A394">A368+1</f>
        <v>162</v>
      </c>
      <c r="B369" s="93" t="s">
        <v>419</v>
      </c>
      <c r="C369" s="82">
        <v>92.9</v>
      </c>
      <c r="D369" s="69">
        <v>21.5</v>
      </c>
      <c r="E369" s="34"/>
      <c r="F369" s="34"/>
      <c r="G369" s="34"/>
      <c r="H369" s="82">
        <v>92.9</v>
      </c>
      <c r="I369" s="81">
        <v>3172535</v>
      </c>
      <c r="J369" s="31">
        <f t="shared" si="32"/>
        <v>34150</v>
      </c>
      <c r="K369" s="34"/>
      <c r="L369" s="34"/>
      <c r="M369" s="34"/>
      <c r="N369" s="34"/>
      <c r="O369" s="34"/>
      <c r="P369" s="34"/>
      <c r="Q369" s="70">
        <f t="shared" si="33"/>
        <v>3172535</v>
      </c>
      <c r="R369" s="63">
        <v>0</v>
      </c>
      <c r="S369" s="31">
        <v>34150</v>
      </c>
      <c r="T369" s="31">
        <f t="shared" si="34"/>
        <v>25612.5</v>
      </c>
    </row>
    <row r="370" spans="1:20" ht="31.5">
      <c r="A370" s="54">
        <f t="shared" si="35"/>
        <v>163</v>
      </c>
      <c r="B370" s="93" t="s">
        <v>420</v>
      </c>
      <c r="C370" s="82">
        <v>93.4</v>
      </c>
      <c r="D370" s="69">
        <v>24.6</v>
      </c>
      <c r="E370" s="34"/>
      <c r="F370" s="34"/>
      <c r="G370" s="34"/>
      <c r="H370" s="82">
        <v>93.4</v>
      </c>
      <c r="I370" s="81">
        <v>3189610</v>
      </c>
      <c r="J370" s="31">
        <f t="shared" si="32"/>
        <v>34150</v>
      </c>
      <c r="K370" s="34"/>
      <c r="L370" s="34"/>
      <c r="M370" s="34"/>
      <c r="N370" s="34"/>
      <c r="O370" s="34"/>
      <c r="P370" s="34"/>
      <c r="Q370" s="70">
        <f t="shared" si="33"/>
        <v>3189610</v>
      </c>
      <c r="R370" s="63">
        <v>0</v>
      </c>
      <c r="S370" s="31">
        <v>34150</v>
      </c>
      <c r="T370" s="31">
        <f t="shared" si="34"/>
        <v>25612.5</v>
      </c>
    </row>
    <row r="371" spans="1:20" ht="31.5">
      <c r="A371" s="54">
        <f t="shared" si="35"/>
        <v>164</v>
      </c>
      <c r="B371" s="93" t="s">
        <v>421</v>
      </c>
      <c r="C371" s="82">
        <v>94</v>
      </c>
      <c r="D371" s="69">
        <v>46.8</v>
      </c>
      <c r="E371" s="34"/>
      <c r="F371" s="34"/>
      <c r="G371" s="34"/>
      <c r="H371" s="82">
        <v>94</v>
      </c>
      <c r="I371" s="81">
        <v>3210100</v>
      </c>
      <c r="J371" s="31">
        <f t="shared" si="32"/>
        <v>34150</v>
      </c>
      <c r="K371" s="34"/>
      <c r="L371" s="34"/>
      <c r="M371" s="34"/>
      <c r="N371" s="34"/>
      <c r="O371" s="34"/>
      <c r="P371" s="34"/>
      <c r="Q371" s="70">
        <f t="shared" si="33"/>
        <v>3210100</v>
      </c>
      <c r="R371" s="63">
        <v>0</v>
      </c>
      <c r="S371" s="31">
        <v>34150</v>
      </c>
      <c r="T371" s="31">
        <f t="shared" si="34"/>
        <v>25612.5</v>
      </c>
    </row>
    <row r="372" spans="1:20" ht="31.5">
      <c r="A372" s="54">
        <f t="shared" si="35"/>
        <v>165</v>
      </c>
      <c r="B372" s="93" t="s">
        <v>422</v>
      </c>
      <c r="C372" s="82">
        <v>92.1</v>
      </c>
      <c r="D372" s="69">
        <v>92.1</v>
      </c>
      <c r="E372" s="34"/>
      <c r="F372" s="34"/>
      <c r="G372" s="34"/>
      <c r="H372" s="82">
        <v>92.1</v>
      </c>
      <c r="I372" s="81">
        <v>3145215</v>
      </c>
      <c r="J372" s="31">
        <f t="shared" si="32"/>
        <v>34150</v>
      </c>
      <c r="K372" s="34"/>
      <c r="L372" s="34"/>
      <c r="M372" s="34"/>
      <c r="N372" s="34"/>
      <c r="O372" s="34"/>
      <c r="P372" s="34"/>
      <c r="Q372" s="70">
        <f t="shared" si="33"/>
        <v>3145215</v>
      </c>
      <c r="R372" s="63">
        <v>0</v>
      </c>
      <c r="S372" s="31">
        <v>34150</v>
      </c>
      <c r="T372" s="31">
        <f t="shared" si="34"/>
        <v>25612.5</v>
      </c>
    </row>
    <row r="373" spans="1:20" ht="31.5">
      <c r="A373" s="54">
        <f t="shared" si="35"/>
        <v>166</v>
      </c>
      <c r="B373" s="93" t="s">
        <v>423</v>
      </c>
      <c r="C373" s="82">
        <v>94.2</v>
      </c>
      <c r="D373" s="69">
        <v>94.2</v>
      </c>
      <c r="E373" s="34"/>
      <c r="F373" s="34"/>
      <c r="G373" s="34"/>
      <c r="H373" s="82">
        <v>94.2</v>
      </c>
      <c r="I373" s="81">
        <v>3216930</v>
      </c>
      <c r="J373" s="31">
        <f t="shared" si="32"/>
        <v>34150</v>
      </c>
      <c r="K373" s="34"/>
      <c r="L373" s="34"/>
      <c r="M373" s="34"/>
      <c r="N373" s="34"/>
      <c r="O373" s="34"/>
      <c r="P373" s="34"/>
      <c r="Q373" s="70">
        <f t="shared" si="33"/>
        <v>3216930</v>
      </c>
      <c r="R373" s="63">
        <v>0</v>
      </c>
      <c r="S373" s="31">
        <v>34150</v>
      </c>
      <c r="T373" s="31">
        <f t="shared" si="34"/>
        <v>25612.5</v>
      </c>
    </row>
    <row r="374" spans="1:20" ht="31.5">
      <c r="A374" s="54">
        <f t="shared" si="35"/>
        <v>167</v>
      </c>
      <c r="B374" s="93" t="s">
        <v>424</v>
      </c>
      <c r="C374" s="82">
        <v>93.3</v>
      </c>
      <c r="D374" s="69">
        <v>0</v>
      </c>
      <c r="E374" s="34"/>
      <c r="F374" s="34"/>
      <c r="G374" s="34"/>
      <c r="H374" s="82">
        <v>93.3</v>
      </c>
      <c r="I374" s="81">
        <v>3186195</v>
      </c>
      <c r="J374" s="31">
        <f t="shared" si="32"/>
        <v>34150</v>
      </c>
      <c r="K374" s="34"/>
      <c r="L374" s="34"/>
      <c r="M374" s="34"/>
      <c r="N374" s="34"/>
      <c r="O374" s="34"/>
      <c r="P374" s="34"/>
      <c r="Q374" s="70">
        <f t="shared" si="33"/>
        <v>3186195</v>
      </c>
      <c r="R374" s="63">
        <v>0</v>
      </c>
      <c r="S374" s="31">
        <v>34150</v>
      </c>
      <c r="T374" s="31">
        <f t="shared" si="34"/>
        <v>25612.5</v>
      </c>
    </row>
    <row r="375" spans="1:20" ht="31.5">
      <c r="A375" s="54">
        <f t="shared" si="35"/>
        <v>168</v>
      </c>
      <c r="B375" s="93" t="s">
        <v>425</v>
      </c>
      <c r="C375" s="82">
        <v>45.9</v>
      </c>
      <c r="D375" s="69">
        <v>0</v>
      </c>
      <c r="E375" s="34"/>
      <c r="F375" s="34"/>
      <c r="G375" s="34"/>
      <c r="H375" s="82">
        <v>45.9</v>
      </c>
      <c r="I375" s="81">
        <v>1567485</v>
      </c>
      <c r="J375" s="31">
        <f t="shared" si="32"/>
        <v>34150</v>
      </c>
      <c r="K375" s="34"/>
      <c r="L375" s="34"/>
      <c r="M375" s="34"/>
      <c r="N375" s="34"/>
      <c r="O375" s="34"/>
      <c r="P375" s="34"/>
      <c r="Q375" s="70">
        <f t="shared" si="33"/>
        <v>1567485</v>
      </c>
      <c r="R375" s="63">
        <v>0</v>
      </c>
      <c r="S375" s="31">
        <v>34150</v>
      </c>
      <c r="T375" s="31">
        <f t="shared" si="34"/>
        <v>25612.5</v>
      </c>
    </row>
    <row r="376" spans="1:20" ht="31.5">
      <c r="A376" s="54">
        <f t="shared" si="35"/>
        <v>169</v>
      </c>
      <c r="B376" s="93" t="s">
        <v>426</v>
      </c>
      <c r="C376" s="82">
        <v>92.6</v>
      </c>
      <c r="D376" s="69">
        <v>28.1</v>
      </c>
      <c r="E376" s="34"/>
      <c r="F376" s="34"/>
      <c r="G376" s="34"/>
      <c r="H376" s="82">
        <v>92.6</v>
      </c>
      <c r="I376" s="81">
        <v>3162290</v>
      </c>
      <c r="J376" s="31">
        <f t="shared" si="32"/>
        <v>34150</v>
      </c>
      <c r="K376" s="34"/>
      <c r="L376" s="34"/>
      <c r="M376" s="34"/>
      <c r="N376" s="34"/>
      <c r="O376" s="34"/>
      <c r="P376" s="34"/>
      <c r="Q376" s="70">
        <f t="shared" si="33"/>
        <v>3162290</v>
      </c>
      <c r="R376" s="63">
        <v>0</v>
      </c>
      <c r="S376" s="31">
        <v>34150</v>
      </c>
      <c r="T376" s="31">
        <f t="shared" si="34"/>
        <v>25612.5</v>
      </c>
    </row>
    <row r="377" spans="1:20" ht="31.5">
      <c r="A377" s="54">
        <f t="shared" si="35"/>
        <v>170</v>
      </c>
      <c r="B377" s="93" t="s">
        <v>427</v>
      </c>
      <c r="C377" s="82">
        <v>94.4</v>
      </c>
      <c r="D377" s="69">
        <v>94.4</v>
      </c>
      <c r="E377" s="34"/>
      <c r="F377" s="34"/>
      <c r="G377" s="34"/>
      <c r="H377" s="82">
        <v>94.4</v>
      </c>
      <c r="I377" s="81">
        <v>3223760</v>
      </c>
      <c r="J377" s="31">
        <f t="shared" si="32"/>
        <v>34150</v>
      </c>
      <c r="K377" s="34"/>
      <c r="L377" s="34"/>
      <c r="M377" s="34"/>
      <c r="N377" s="34"/>
      <c r="O377" s="34"/>
      <c r="P377" s="34"/>
      <c r="Q377" s="70">
        <f t="shared" si="33"/>
        <v>3223760</v>
      </c>
      <c r="R377" s="63">
        <v>0</v>
      </c>
      <c r="S377" s="31">
        <v>34150</v>
      </c>
      <c r="T377" s="31">
        <f t="shared" si="34"/>
        <v>25612.5</v>
      </c>
    </row>
    <row r="378" spans="1:20" ht="31.5">
      <c r="A378" s="54">
        <f t="shared" si="35"/>
        <v>171</v>
      </c>
      <c r="B378" s="93" t="s">
        <v>428</v>
      </c>
      <c r="C378" s="82">
        <v>93</v>
      </c>
      <c r="D378" s="69">
        <v>0</v>
      </c>
      <c r="E378" s="34"/>
      <c r="F378" s="34"/>
      <c r="G378" s="34"/>
      <c r="H378" s="82">
        <v>93</v>
      </c>
      <c r="I378" s="81">
        <v>3175950</v>
      </c>
      <c r="J378" s="31">
        <f t="shared" si="32"/>
        <v>34150</v>
      </c>
      <c r="K378" s="34"/>
      <c r="L378" s="34"/>
      <c r="M378" s="34"/>
      <c r="N378" s="34"/>
      <c r="O378" s="34"/>
      <c r="P378" s="34"/>
      <c r="Q378" s="70">
        <f t="shared" si="33"/>
        <v>3175950</v>
      </c>
      <c r="R378" s="63">
        <v>0</v>
      </c>
      <c r="S378" s="31">
        <v>34150</v>
      </c>
      <c r="T378" s="31">
        <f t="shared" si="34"/>
        <v>25612.5</v>
      </c>
    </row>
    <row r="379" spans="1:20" ht="31.5">
      <c r="A379" s="54">
        <f t="shared" si="35"/>
        <v>172</v>
      </c>
      <c r="B379" s="93" t="s">
        <v>429</v>
      </c>
      <c r="C379" s="82">
        <v>92.9</v>
      </c>
      <c r="D379" s="69">
        <v>0</v>
      </c>
      <c r="E379" s="34"/>
      <c r="F379" s="34"/>
      <c r="G379" s="34"/>
      <c r="H379" s="82">
        <v>92.9</v>
      </c>
      <c r="I379" s="81">
        <v>3172535</v>
      </c>
      <c r="J379" s="31">
        <f t="shared" si="32"/>
        <v>34150</v>
      </c>
      <c r="K379" s="34"/>
      <c r="L379" s="34"/>
      <c r="M379" s="34"/>
      <c r="N379" s="34"/>
      <c r="O379" s="34"/>
      <c r="P379" s="34"/>
      <c r="Q379" s="70">
        <f t="shared" si="33"/>
        <v>3172535</v>
      </c>
      <c r="R379" s="63">
        <v>0</v>
      </c>
      <c r="S379" s="31">
        <v>34150</v>
      </c>
      <c r="T379" s="31">
        <f t="shared" si="34"/>
        <v>25612.5</v>
      </c>
    </row>
    <row r="380" spans="1:20" ht="31.5">
      <c r="A380" s="54">
        <f t="shared" si="35"/>
        <v>173</v>
      </c>
      <c r="B380" s="93" t="s">
        <v>430</v>
      </c>
      <c r="C380" s="82">
        <v>93</v>
      </c>
      <c r="D380" s="69">
        <v>0</v>
      </c>
      <c r="E380" s="34"/>
      <c r="F380" s="34"/>
      <c r="G380" s="34"/>
      <c r="H380" s="82">
        <v>93</v>
      </c>
      <c r="I380" s="81">
        <v>3175950</v>
      </c>
      <c r="J380" s="31">
        <f t="shared" si="32"/>
        <v>34150</v>
      </c>
      <c r="K380" s="34"/>
      <c r="L380" s="34"/>
      <c r="M380" s="34"/>
      <c r="N380" s="34"/>
      <c r="O380" s="34"/>
      <c r="P380" s="34"/>
      <c r="Q380" s="70">
        <f t="shared" si="33"/>
        <v>3175950</v>
      </c>
      <c r="R380" s="63">
        <v>0</v>
      </c>
      <c r="S380" s="31">
        <v>34150</v>
      </c>
      <c r="T380" s="31">
        <f t="shared" si="34"/>
        <v>25612.5</v>
      </c>
    </row>
    <row r="381" spans="1:20" ht="31.5">
      <c r="A381" s="54">
        <f t="shared" si="35"/>
        <v>174</v>
      </c>
      <c r="B381" s="93" t="s">
        <v>431</v>
      </c>
      <c r="C381" s="82">
        <v>93</v>
      </c>
      <c r="D381" s="69">
        <v>0</v>
      </c>
      <c r="E381" s="34"/>
      <c r="F381" s="34"/>
      <c r="G381" s="34"/>
      <c r="H381" s="82">
        <v>93</v>
      </c>
      <c r="I381" s="81">
        <v>3175950</v>
      </c>
      <c r="J381" s="31">
        <f t="shared" si="32"/>
        <v>34150</v>
      </c>
      <c r="K381" s="34"/>
      <c r="L381" s="34"/>
      <c r="M381" s="34"/>
      <c r="N381" s="34"/>
      <c r="O381" s="34"/>
      <c r="P381" s="34"/>
      <c r="Q381" s="70">
        <f t="shared" si="33"/>
        <v>3175950</v>
      </c>
      <c r="R381" s="63">
        <v>0</v>
      </c>
      <c r="S381" s="31">
        <v>34150</v>
      </c>
      <c r="T381" s="31">
        <f t="shared" si="34"/>
        <v>25612.5</v>
      </c>
    </row>
    <row r="382" spans="1:20" ht="31.5">
      <c r="A382" s="54">
        <f t="shared" si="35"/>
        <v>175</v>
      </c>
      <c r="B382" s="93" t="s">
        <v>432</v>
      </c>
      <c r="C382" s="82">
        <v>93.6</v>
      </c>
      <c r="D382" s="69">
        <v>0</v>
      </c>
      <c r="E382" s="34"/>
      <c r="F382" s="34"/>
      <c r="G382" s="34"/>
      <c r="H382" s="82">
        <v>93.6</v>
      </c>
      <c r="I382" s="81">
        <v>3196440</v>
      </c>
      <c r="J382" s="31">
        <f t="shared" si="32"/>
        <v>34150</v>
      </c>
      <c r="K382" s="34"/>
      <c r="L382" s="34"/>
      <c r="M382" s="34"/>
      <c r="N382" s="34"/>
      <c r="O382" s="34"/>
      <c r="P382" s="34"/>
      <c r="Q382" s="70">
        <f t="shared" si="33"/>
        <v>3196440</v>
      </c>
      <c r="R382" s="63">
        <v>0</v>
      </c>
      <c r="S382" s="31">
        <v>34150</v>
      </c>
      <c r="T382" s="31">
        <f t="shared" si="34"/>
        <v>25612.5</v>
      </c>
    </row>
    <row r="383" spans="1:20" ht="31.5">
      <c r="A383" s="54">
        <f t="shared" si="35"/>
        <v>176</v>
      </c>
      <c r="B383" s="93" t="s">
        <v>433</v>
      </c>
      <c r="C383" s="82">
        <v>92.7</v>
      </c>
      <c r="D383" s="69">
        <v>46.4</v>
      </c>
      <c r="E383" s="34"/>
      <c r="F383" s="34"/>
      <c r="G383" s="34"/>
      <c r="H383" s="82">
        <v>92.7</v>
      </c>
      <c r="I383" s="81">
        <v>3165705</v>
      </c>
      <c r="J383" s="31">
        <f t="shared" si="32"/>
        <v>34150</v>
      </c>
      <c r="K383" s="34"/>
      <c r="L383" s="34"/>
      <c r="M383" s="34"/>
      <c r="N383" s="34"/>
      <c r="O383" s="34"/>
      <c r="P383" s="34"/>
      <c r="Q383" s="70">
        <f t="shared" si="33"/>
        <v>3165705</v>
      </c>
      <c r="R383" s="63">
        <v>0</v>
      </c>
      <c r="S383" s="31">
        <v>34150</v>
      </c>
      <c r="T383" s="31">
        <f t="shared" si="34"/>
        <v>25612.5</v>
      </c>
    </row>
    <row r="384" spans="1:20" ht="31.5">
      <c r="A384" s="54">
        <f t="shared" si="35"/>
        <v>177</v>
      </c>
      <c r="B384" s="93" t="s">
        <v>434</v>
      </c>
      <c r="C384" s="82">
        <v>93.6</v>
      </c>
      <c r="D384" s="69">
        <v>14.1</v>
      </c>
      <c r="E384" s="34"/>
      <c r="F384" s="34"/>
      <c r="G384" s="34"/>
      <c r="H384" s="82">
        <v>93.6</v>
      </c>
      <c r="I384" s="81">
        <v>3196440</v>
      </c>
      <c r="J384" s="31">
        <f t="shared" si="32"/>
        <v>34150</v>
      </c>
      <c r="K384" s="34"/>
      <c r="L384" s="34"/>
      <c r="M384" s="34"/>
      <c r="N384" s="34"/>
      <c r="O384" s="34"/>
      <c r="P384" s="34"/>
      <c r="Q384" s="70">
        <f t="shared" si="33"/>
        <v>3196440</v>
      </c>
      <c r="R384" s="63">
        <v>0</v>
      </c>
      <c r="S384" s="31">
        <v>34150</v>
      </c>
      <c r="T384" s="31">
        <f t="shared" si="34"/>
        <v>25612.5</v>
      </c>
    </row>
    <row r="385" spans="1:20" ht="31.5">
      <c r="A385" s="54">
        <f t="shared" si="35"/>
        <v>178</v>
      </c>
      <c r="B385" s="93" t="s">
        <v>435</v>
      </c>
      <c r="C385" s="82">
        <v>91.7</v>
      </c>
      <c r="D385" s="69">
        <v>46.2</v>
      </c>
      <c r="E385" s="34"/>
      <c r="F385" s="34"/>
      <c r="G385" s="34"/>
      <c r="H385" s="82">
        <v>91.7</v>
      </c>
      <c r="I385" s="81">
        <v>3131555</v>
      </c>
      <c r="J385" s="31">
        <f t="shared" si="32"/>
        <v>34150</v>
      </c>
      <c r="K385" s="34"/>
      <c r="L385" s="34"/>
      <c r="M385" s="34"/>
      <c r="N385" s="34"/>
      <c r="O385" s="34"/>
      <c r="P385" s="34"/>
      <c r="Q385" s="70">
        <f t="shared" si="33"/>
        <v>3131555</v>
      </c>
      <c r="R385" s="63">
        <v>0</v>
      </c>
      <c r="S385" s="31">
        <v>34150</v>
      </c>
      <c r="T385" s="31">
        <f t="shared" si="34"/>
        <v>25612.5</v>
      </c>
    </row>
    <row r="386" spans="1:20" ht="31.5">
      <c r="A386" s="54">
        <f t="shared" si="35"/>
        <v>179</v>
      </c>
      <c r="B386" s="93" t="s">
        <v>436</v>
      </c>
      <c r="C386" s="82">
        <v>93.6</v>
      </c>
      <c r="D386" s="69">
        <v>0</v>
      </c>
      <c r="E386" s="34"/>
      <c r="F386" s="34"/>
      <c r="G386" s="34"/>
      <c r="H386" s="82">
        <v>93.6</v>
      </c>
      <c r="I386" s="81">
        <v>3196440</v>
      </c>
      <c r="J386" s="31">
        <f t="shared" si="32"/>
        <v>34150</v>
      </c>
      <c r="K386" s="34"/>
      <c r="L386" s="34"/>
      <c r="M386" s="34"/>
      <c r="N386" s="34"/>
      <c r="O386" s="34"/>
      <c r="P386" s="34"/>
      <c r="Q386" s="70">
        <f t="shared" si="33"/>
        <v>3196440</v>
      </c>
      <c r="R386" s="63">
        <v>0</v>
      </c>
      <c r="S386" s="31">
        <v>34150</v>
      </c>
      <c r="T386" s="31">
        <f t="shared" si="34"/>
        <v>25612.5</v>
      </c>
    </row>
    <row r="387" spans="1:20" ht="31.5">
      <c r="A387" s="54">
        <f t="shared" si="35"/>
        <v>180</v>
      </c>
      <c r="B387" s="93" t="s">
        <v>437</v>
      </c>
      <c r="C387" s="82">
        <v>91.1</v>
      </c>
      <c r="D387" s="69">
        <v>91.1</v>
      </c>
      <c r="E387" s="34"/>
      <c r="F387" s="34"/>
      <c r="G387" s="34"/>
      <c r="H387" s="82">
        <v>91.1</v>
      </c>
      <c r="I387" s="81">
        <v>3111065</v>
      </c>
      <c r="J387" s="31">
        <f t="shared" si="32"/>
        <v>34150</v>
      </c>
      <c r="K387" s="34"/>
      <c r="L387" s="34"/>
      <c r="M387" s="34"/>
      <c r="N387" s="34"/>
      <c r="O387" s="34"/>
      <c r="P387" s="34"/>
      <c r="Q387" s="70">
        <f t="shared" si="33"/>
        <v>3111065</v>
      </c>
      <c r="R387" s="63">
        <v>0</v>
      </c>
      <c r="S387" s="31">
        <v>34150</v>
      </c>
      <c r="T387" s="31">
        <f t="shared" si="34"/>
        <v>25612.5</v>
      </c>
    </row>
    <row r="388" spans="1:20" ht="31.5">
      <c r="A388" s="54">
        <f t="shared" si="35"/>
        <v>181</v>
      </c>
      <c r="B388" s="93" t="s">
        <v>438</v>
      </c>
      <c r="C388" s="82">
        <v>93.8</v>
      </c>
      <c r="D388" s="69">
        <v>0</v>
      </c>
      <c r="E388" s="34"/>
      <c r="F388" s="34"/>
      <c r="G388" s="34"/>
      <c r="H388" s="82">
        <v>93.8</v>
      </c>
      <c r="I388" s="81">
        <v>3203270</v>
      </c>
      <c r="J388" s="31">
        <f t="shared" si="32"/>
        <v>34150</v>
      </c>
      <c r="K388" s="34"/>
      <c r="L388" s="34"/>
      <c r="M388" s="34"/>
      <c r="N388" s="34"/>
      <c r="O388" s="34"/>
      <c r="P388" s="34"/>
      <c r="Q388" s="70">
        <f t="shared" si="33"/>
        <v>3203270</v>
      </c>
      <c r="R388" s="63">
        <v>0</v>
      </c>
      <c r="S388" s="31">
        <v>34150</v>
      </c>
      <c r="T388" s="31">
        <f t="shared" si="34"/>
        <v>25612.5</v>
      </c>
    </row>
    <row r="389" spans="1:20" ht="31.5">
      <c r="A389" s="54">
        <f t="shared" si="35"/>
        <v>182</v>
      </c>
      <c r="B389" s="93" t="s">
        <v>439</v>
      </c>
      <c r="C389" s="82">
        <v>97.9</v>
      </c>
      <c r="D389" s="69">
        <v>0</v>
      </c>
      <c r="E389" s="34"/>
      <c r="F389" s="34"/>
      <c r="G389" s="34"/>
      <c r="H389" s="82">
        <v>97.9</v>
      </c>
      <c r="I389" s="81">
        <v>3343285</v>
      </c>
      <c r="J389" s="31">
        <f t="shared" si="32"/>
        <v>34150</v>
      </c>
      <c r="K389" s="34"/>
      <c r="L389" s="34"/>
      <c r="M389" s="34"/>
      <c r="N389" s="34"/>
      <c r="O389" s="34"/>
      <c r="P389" s="34"/>
      <c r="Q389" s="70">
        <f t="shared" si="33"/>
        <v>3343285</v>
      </c>
      <c r="R389" s="63">
        <v>0</v>
      </c>
      <c r="S389" s="31">
        <v>34150</v>
      </c>
      <c r="T389" s="31">
        <f t="shared" si="34"/>
        <v>25612.5</v>
      </c>
    </row>
    <row r="390" spans="1:20" ht="31.5">
      <c r="A390" s="54">
        <f t="shared" si="35"/>
        <v>183</v>
      </c>
      <c r="B390" s="93" t="s">
        <v>440</v>
      </c>
      <c r="C390" s="82">
        <v>94.4</v>
      </c>
      <c r="D390" s="69">
        <v>0</v>
      </c>
      <c r="E390" s="111"/>
      <c r="F390" s="112"/>
      <c r="G390" s="109"/>
      <c r="H390" s="82">
        <v>94.4</v>
      </c>
      <c r="I390" s="81">
        <v>3223760</v>
      </c>
      <c r="J390" s="31">
        <f t="shared" si="32"/>
        <v>34150</v>
      </c>
      <c r="K390" s="109"/>
      <c r="L390" s="109"/>
      <c r="M390" s="109"/>
      <c r="N390" s="109"/>
      <c r="O390" s="109"/>
      <c r="P390" s="109"/>
      <c r="Q390" s="70">
        <f t="shared" si="33"/>
        <v>3223760</v>
      </c>
      <c r="R390" s="63">
        <v>0</v>
      </c>
      <c r="S390" s="31">
        <v>34150</v>
      </c>
      <c r="T390" s="31">
        <f t="shared" si="34"/>
        <v>25612.5</v>
      </c>
    </row>
    <row r="391" spans="1:20" ht="31.5">
      <c r="A391" s="54">
        <f t="shared" si="35"/>
        <v>184</v>
      </c>
      <c r="B391" s="97" t="s">
        <v>441</v>
      </c>
      <c r="C391" s="82">
        <v>111.3</v>
      </c>
      <c r="D391" s="69">
        <v>0</v>
      </c>
      <c r="E391" s="50"/>
      <c r="F391" s="109"/>
      <c r="G391" s="109"/>
      <c r="H391" s="82">
        <v>111.3</v>
      </c>
      <c r="I391" s="81">
        <v>3800895</v>
      </c>
      <c r="J391" s="31">
        <f t="shared" si="32"/>
        <v>34150</v>
      </c>
      <c r="K391" s="109"/>
      <c r="L391" s="109"/>
      <c r="M391" s="109"/>
      <c r="N391" s="109"/>
      <c r="O391" s="109"/>
      <c r="P391" s="109"/>
      <c r="Q391" s="70">
        <f t="shared" si="33"/>
        <v>3800895</v>
      </c>
      <c r="R391" s="63">
        <v>0</v>
      </c>
      <c r="S391" s="31">
        <v>34150</v>
      </c>
      <c r="T391" s="31">
        <f t="shared" si="34"/>
        <v>25612.5</v>
      </c>
    </row>
    <row r="392" spans="1:20" ht="31.5">
      <c r="A392" s="54">
        <f t="shared" si="35"/>
        <v>185</v>
      </c>
      <c r="B392" s="97" t="s">
        <v>442</v>
      </c>
      <c r="C392" s="82">
        <v>111.3</v>
      </c>
      <c r="D392" s="69">
        <v>0</v>
      </c>
      <c r="E392" s="34"/>
      <c r="F392" s="109"/>
      <c r="G392" s="109"/>
      <c r="H392" s="82">
        <v>111.3</v>
      </c>
      <c r="I392" s="81">
        <v>3800895</v>
      </c>
      <c r="J392" s="31">
        <f t="shared" si="32"/>
        <v>34150</v>
      </c>
      <c r="K392" s="109"/>
      <c r="L392" s="109"/>
      <c r="M392" s="109"/>
      <c r="N392" s="109"/>
      <c r="O392" s="109"/>
      <c r="P392" s="109"/>
      <c r="Q392" s="70">
        <f t="shared" si="33"/>
        <v>3800895</v>
      </c>
      <c r="R392" s="63">
        <v>0</v>
      </c>
      <c r="S392" s="31">
        <v>34150</v>
      </c>
      <c r="T392" s="31">
        <f t="shared" si="34"/>
        <v>25612.5</v>
      </c>
    </row>
    <row r="393" spans="1:20" ht="31.5">
      <c r="A393" s="54">
        <f t="shared" si="35"/>
        <v>186</v>
      </c>
      <c r="B393" s="97" t="s">
        <v>443</v>
      </c>
      <c r="C393" s="82">
        <v>111.3</v>
      </c>
      <c r="D393" s="69">
        <v>0</v>
      </c>
      <c r="E393" s="34"/>
      <c r="F393" s="109"/>
      <c r="G393" s="109"/>
      <c r="H393" s="82">
        <v>111.3</v>
      </c>
      <c r="I393" s="81">
        <v>3800895</v>
      </c>
      <c r="J393" s="31">
        <f aca="true" t="shared" si="36" ref="J393:J456">I393/H393</f>
        <v>34150</v>
      </c>
      <c r="K393" s="109"/>
      <c r="L393" s="109"/>
      <c r="M393" s="109"/>
      <c r="N393" s="109"/>
      <c r="O393" s="109"/>
      <c r="P393" s="109"/>
      <c r="Q393" s="70">
        <f aca="true" t="shared" si="37" ref="Q393:Q456">I393</f>
        <v>3800895</v>
      </c>
      <c r="R393" s="63">
        <v>0</v>
      </c>
      <c r="S393" s="31">
        <v>34150</v>
      </c>
      <c r="T393" s="31">
        <f t="shared" si="34"/>
        <v>25612.5</v>
      </c>
    </row>
    <row r="394" spans="1:20" ht="31.5">
      <c r="A394" s="54">
        <f t="shared" si="35"/>
        <v>187</v>
      </c>
      <c r="B394" s="97" t="s">
        <v>444</v>
      </c>
      <c r="C394" s="82">
        <v>111.3</v>
      </c>
      <c r="D394" s="69">
        <v>0</v>
      </c>
      <c r="E394" s="34"/>
      <c r="F394" s="109"/>
      <c r="G394" s="109"/>
      <c r="H394" s="82">
        <v>111.3</v>
      </c>
      <c r="I394" s="81">
        <v>3800895</v>
      </c>
      <c r="J394" s="31">
        <f t="shared" si="36"/>
        <v>34150</v>
      </c>
      <c r="K394" s="109"/>
      <c r="L394" s="109"/>
      <c r="M394" s="109"/>
      <c r="N394" s="109"/>
      <c r="O394" s="109"/>
      <c r="P394" s="109"/>
      <c r="Q394" s="70">
        <f t="shared" si="37"/>
        <v>3800895</v>
      </c>
      <c r="R394" s="63">
        <v>0</v>
      </c>
      <c r="S394" s="31">
        <v>34150</v>
      </c>
      <c r="T394" s="31">
        <f aca="true" t="shared" si="38" ref="T394:T457">S394/4*3</f>
        <v>25612.5</v>
      </c>
    </row>
    <row r="395" spans="1:20" ht="15.75">
      <c r="A395" s="148" t="s">
        <v>445</v>
      </c>
      <c r="B395" s="148"/>
      <c r="C395" s="59">
        <v>1823.8</v>
      </c>
      <c r="D395" s="69">
        <v>806.4</v>
      </c>
      <c r="E395" s="34"/>
      <c r="F395" s="109"/>
      <c r="G395" s="109"/>
      <c r="H395" s="59">
        <v>1823.8</v>
      </c>
      <c r="I395" s="83">
        <v>62282770</v>
      </c>
      <c r="J395" s="31">
        <f t="shared" si="36"/>
        <v>34150</v>
      </c>
      <c r="K395" s="109"/>
      <c r="L395" s="109"/>
      <c r="M395" s="109"/>
      <c r="N395" s="109"/>
      <c r="O395" s="109"/>
      <c r="P395" s="109"/>
      <c r="Q395" s="70">
        <f t="shared" si="37"/>
        <v>62282770</v>
      </c>
      <c r="R395" s="63">
        <v>0</v>
      </c>
      <c r="S395" s="31">
        <v>34150</v>
      </c>
      <c r="T395" s="31">
        <f t="shared" si="38"/>
        <v>25612.5</v>
      </c>
    </row>
    <row r="396" spans="1:20" ht="47.25">
      <c r="A396" s="43">
        <v>188</v>
      </c>
      <c r="B396" s="47" t="s">
        <v>446</v>
      </c>
      <c r="C396" s="59">
        <v>132</v>
      </c>
      <c r="D396" s="69">
        <v>98.3</v>
      </c>
      <c r="E396" s="34"/>
      <c r="F396" s="109"/>
      <c r="G396" s="109"/>
      <c r="H396" s="59">
        <v>132</v>
      </c>
      <c r="I396" s="83">
        <v>4507800</v>
      </c>
      <c r="J396" s="31">
        <f t="shared" si="36"/>
        <v>34150</v>
      </c>
      <c r="K396" s="109"/>
      <c r="L396" s="109"/>
      <c r="M396" s="109"/>
      <c r="N396" s="109"/>
      <c r="O396" s="109"/>
      <c r="P396" s="109"/>
      <c r="Q396" s="70">
        <f t="shared" si="37"/>
        <v>4507800</v>
      </c>
      <c r="R396" s="63">
        <v>0</v>
      </c>
      <c r="S396" s="31">
        <v>34150</v>
      </c>
      <c r="T396" s="31">
        <f t="shared" si="38"/>
        <v>25612.5</v>
      </c>
    </row>
    <row r="397" spans="1:20" ht="31.5">
      <c r="A397" s="43">
        <f>A396+1</f>
        <v>189</v>
      </c>
      <c r="B397" s="47" t="s">
        <v>448</v>
      </c>
      <c r="C397" s="59">
        <v>30.5</v>
      </c>
      <c r="D397" s="69">
        <v>0</v>
      </c>
      <c r="E397" s="34"/>
      <c r="F397" s="109"/>
      <c r="G397" s="109"/>
      <c r="H397" s="59">
        <v>30.5</v>
      </c>
      <c r="I397" s="83">
        <v>1041575</v>
      </c>
      <c r="J397" s="31">
        <f t="shared" si="36"/>
        <v>34150</v>
      </c>
      <c r="K397" s="109"/>
      <c r="L397" s="109"/>
      <c r="M397" s="109"/>
      <c r="N397" s="109"/>
      <c r="O397" s="109"/>
      <c r="P397" s="109"/>
      <c r="Q397" s="70">
        <f t="shared" si="37"/>
        <v>1041575</v>
      </c>
      <c r="R397" s="63">
        <v>0</v>
      </c>
      <c r="S397" s="31">
        <v>34150</v>
      </c>
      <c r="T397" s="31">
        <f t="shared" si="38"/>
        <v>25612.5</v>
      </c>
    </row>
    <row r="398" spans="1:20" ht="31.5">
      <c r="A398" s="43">
        <f aca="true" t="shared" si="39" ref="A398:A408">A397+1</f>
        <v>190</v>
      </c>
      <c r="B398" s="47" t="s">
        <v>449</v>
      </c>
      <c r="C398" s="59">
        <v>46.4</v>
      </c>
      <c r="D398" s="69">
        <v>0</v>
      </c>
      <c r="E398" s="34"/>
      <c r="F398" s="109"/>
      <c r="G398" s="109"/>
      <c r="H398" s="59">
        <v>46.4</v>
      </c>
      <c r="I398" s="83">
        <v>1584560</v>
      </c>
      <c r="J398" s="31">
        <f t="shared" si="36"/>
        <v>34150</v>
      </c>
      <c r="K398" s="109"/>
      <c r="L398" s="109"/>
      <c r="M398" s="109"/>
      <c r="N398" s="109"/>
      <c r="O398" s="109"/>
      <c r="P398" s="109"/>
      <c r="Q398" s="70">
        <f t="shared" si="37"/>
        <v>1584560</v>
      </c>
      <c r="R398" s="63">
        <v>0</v>
      </c>
      <c r="S398" s="31">
        <v>34150</v>
      </c>
      <c r="T398" s="31">
        <f t="shared" si="38"/>
        <v>25612.5</v>
      </c>
    </row>
    <row r="399" spans="1:20" ht="31.5">
      <c r="A399" s="43">
        <f t="shared" si="39"/>
        <v>191</v>
      </c>
      <c r="B399" s="47" t="s">
        <v>450</v>
      </c>
      <c r="C399" s="59">
        <v>89.6</v>
      </c>
      <c r="D399" s="69">
        <v>0</v>
      </c>
      <c r="E399" s="34"/>
      <c r="F399" s="109"/>
      <c r="G399" s="109"/>
      <c r="H399" s="59">
        <v>89.6</v>
      </c>
      <c r="I399" s="83">
        <v>3059840</v>
      </c>
      <c r="J399" s="31">
        <f t="shared" si="36"/>
        <v>34150</v>
      </c>
      <c r="K399" s="109"/>
      <c r="L399" s="109"/>
      <c r="M399" s="109"/>
      <c r="N399" s="109"/>
      <c r="O399" s="109"/>
      <c r="P399" s="109"/>
      <c r="Q399" s="70">
        <f t="shared" si="37"/>
        <v>3059840</v>
      </c>
      <c r="R399" s="63">
        <v>0</v>
      </c>
      <c r="S399" s="31">
        <v>34150</v>
      </c>
      <c r="T399" s="31">
        <f t="shared" si="38"/>
        <v>25612.5</v>
      </c>
    </row>
    <row r="400" spans="1:20" ht="31.5">
      <c r="A400" s="43">
        <f t="shared" si="39"/>
        <v>192</v>
      </c>
      <c r="B400" s="47" t="s">
        <v>451</v>
      </c>
      <c r="C400" s="59">
        <v>120.4</v>
      </c>
      <c r="D400" s="69">
        <v>80.8</v>
      </c>
      <c r="E400" s="34"/>
      <c r="F400" s="109"/>
      <c r="G400" s="109"/>
      <c r="H400" s="59">
        <v>120.4</v>
      </c>
      <c r="I400" s="83">
        <v>4111660</v>
      </c>
      <c r="J400" s="31">
        <f t="shared" si="36"/>
        <v>34150</v>
      </c>
      <c r="K400" s="109"/>
      <c r="L400" s="109"/>
      <c r="M400" s="109"/>
      <c r="N400" s="109"/>
      <c r="O400" s="109"/>
      <c r="P400" s="109"/>
      <c r="Q400" s="70">
        <f t="shared" si="37"/>
        <v>4111660</v>
      </c>
      <c r="R400" s="63">
        <v>0</v>
      </c>
      <c r="S400" s="31">
        <v>34150</v>
      </c>
      <c r="T400" s="31">
        <f t="shared" si="38"/>
        <v>25612.5</v>
      </c>
    </row>
    <row r="401" spans="1:20" ht="31.5">
      <c r="A401" s="43">
        <f t="shared" si="39"/>
        <v>193</v>
      </c>
      <c r="B401" s="47" t="s">
        <v>452</v>
      </c>
      <c r="C401" s="59">
        <v>303.7</v>
      </c>
      <c r="D401" s="69">
        <v>35.9</v>
      </c>
      <c r="E401" s="34"/>
      <c r="F401" s="109"/>
      <c r="G401" s="109"/>
      <c r="H401" s="59">
        <v>303.7</v>
      </c>
      <c r="I401" s="83">
        <v>10371355</v>
      </c>
      <c r="J401" s="31">
        <f t="shared" si="36"/>
        <v>34150</v>
      </c>
      <c r="K401" s="109"/>
      <c r="L401" s="109"/>
      <c r="M401" s="109"/>
      <c r="N401" s="109"/>
      <c r="O401" s="109"/>
      <c r="P401" s="109"/>
      <c r="Q401" s="70">
        <f t="shared" si="37"/>
        <v>10371355</v>
      </c>
      <c r="R401" s="63">
        <v>0</v>
      </c>
      <c r="S401" s="31">
        <v>34150</v>
      </c>
      <c r="T401" s="31">
        <f t="shared" si="38"/>
        <v>25612.5</v>
      </c>
    </row>
    <row r="402" spans="1:20" ht="31.5">
      <c r="A402" s="43">
        <f t="shared" si="39"/>
        <v>194</v>
      </c>
      <c r="B402" s="47" t="s">
        <v>453</v>
      </c>
      <c r="C402" s="59">
        <v>165.4</v>
      </c>
      <c r="D402" s="69">
        <v>145.4</v>
      </c>
      <c r="E402" s="34"/>
      <c r="F402" s="109"/>
      <c r="G402" s="109"/>
      <c r="H402" s="59">
        <v>165.4</v>
      </c>
      <c r="I402" s="83">
        <v>5648410</v>
      </c>
      <c r="J402" s="31">
        <f t="shared" si="36"/>
        <v>34150</v>
      </c>
      <c r="K402" s="109"/>
      <c r="L402" s="109"/>
      <c r="M402" s="109"/>
      <c r="N402" s="109"/>
      <c r="O402" s="109"/>
      <c r="P402" s="109"/>
      <c r="Q402" s="70">
        <f t="shared" si="37"/>
        <v>5648410</v>
      </c>
      <c r="R402" s="63">
        <v>0</v>
      </c>
      <c r="S402" s="31">
        <v>34150</v>
      </c>
      <c r="T402" s="31">
        <f t="shared" si="38"/>
        <v>25612.5</v>
      </c>
    </row>
    <row r="403" spans="1:20" ht="31.5">
      <c r="A403" s="43">
        <f t="shared" si="39"/>
        <v>195</v>
      </c>
      <c r="B403" s="47" t="s">
        <v>454</v>
      </c>
      <c r="C403" s="59">
        <v>148.7</v>
      </c>
      <c r="D403" s="69">
        <v>90.2</v>
      </c>
      <c r="E403" s="34"/>
      <c r="F403" s="109"/>
      <c r="G403" s="109"/>
      <c r="H403" s="59">
        <v>148.7</v>
      </c>
      <c r="I403" s="83">
        <v>5078105</v>
      </c>
      <c r="J403" s="31">
        <f t="shared" si="36"/>
        <v>34150</v>
      </c>
      <c r="K403" s="109"/>
      <c r="L403" s="109"/>
      <c r="M403" s="109"/>
      <c r="N403" s="109"/>
      <c r="O403" s="109"/>
      <c r="P403" s="109"/>
      <c r="Q403" s="70">
        <f t="shared" si="37"/>
        <v>5078105</v>
      </c>
      <c r="R403" s="63">
        <v>0</v>
      </c>
      <c r="S403" s="31">
        <v>34150</v>
      </c>
      <c r="T403" s="31">
        <f t="shared" si="38"/>
        <v>25612.5</v>
      </c>
    </row>
    <row r="404" spans="1:20" ht="31.5">
      <c r="A404" s="43">
        <f t="shared" si="39"/>
        <v>196</v>
      </c>
      <c r="B404" s="47" t="s">
        <v>455</v>
      </c>
      <c r="C404" s="59">
        <v>158.4</v>
      </c>
      <c r="D404" s="69">
        <v>0</v>
      </c>
      <c r="E404" s="55"/>
      <c r="F404" s="55"/>
      <c r="G404" s="55"/>
      <c r="H404" s="59">
        <v>158.4</v>
      </c>
      <c r="I404" s="83">
        <v>5409360</v>
      </c>
      <c r="J404" s="31">
        <f t="shared" si="36"/>
        <v>34150</v>
      </c>
      <c r="K404" s="55"/>
      <c r="L404" s="55"/>
      <c r="M404" s="55"/>
      <c r="N404" s="55"/>
      <c r="O404" s="55"/>
      <c r="P404" s="55"/>
      <c r="Q404" s="70">
        <f t="shared" si="37"/>
        <v>5409360</v>
      </c>
      <c r="R404" s="75">
        <v>0</v>
      </c>
      <c r="S404" s="31">
        <v>34150</v>
      </c>
      <c r="T404" s="31">
        <f t="shared" si="38"/>
        <v>25612.5</v>
      </c>
    </row>
    <row r="405" spans="1:20" ht="31.5">
      <c r="A405" s="43">
        <f t="shared" si="39"/>
        <v>197</v>
      </c>
      <c r="B405" s="47" t="s">
        <v>456</v>
      </c>
      <c r="C405" s="59">
        <v>173.3</v>
      </c>
      <c r="D405" s="69">
        <v>173.3</v>
      </c>
      <c r="E405" s="34"/>
      <c r="F405" s="34"/>
      <c r="G405" s="34"/>
      <c r="H405" s="59">
        <v>173.3</v>
      </c>
      <c r="I405" s="83">
        <v>5918195</v>
      </c>
      <c r="J405" s="31">
        <f t="shared" si="36"/>
        <v>34150</v>
      </c>
      <c r="K405" s="34"/>
      <c r="L405" s="34"/>
      <c r="M405" s="34"/>
      <c r="N405" s="34"/>
      <c r="O405" s="34"/>
      <c r="P405" s="34"/>
      <c r="Q405" s="70">
        <f t="shared" si="37"/>
        <v>5918195</v>
      </c>
      <c r="R405" s="63">
        <v>0</v>
      </c>
      <c r="S405" s="31">
        <v>34150</v>
      </c>
      <c r="T405" s="31">
        <f t="shared" si="38"/>
        <v>25612.5</v>
      </c>
    </row>
    <row r="406" spans="1:20" ht="31.5">
      <c r="A406" s="43">
        <f t="shared" si="39"/>
        <v>198</v>
      </c>
      <c r="B406" s="47" t="s">
        <v>457</v>
      </c>
      <c r="C406" s="59">
        <v>72</v>
      </c>
      <c r="D406" s="69">
        <v>72</v>
      </c>
      <c r="E406" s="34"/>
      <c r="F406" s="34"/>
      <c r="G406" s="34"/>
      <c r="H406" s="59">
        <v>72</v>
      </c>
      <c r="I406" s="83">
        <v>2458800</v>
      </c>
      <c r="J406" s="31">
        <f t="shared" si="36"/>
        <v>34150</v>
      </c>
      <c r="K406" s="34"/>
      <c r="L406" s="34"/>
      <c r="M406" s="34"/>
      <c r="N406" s="34"/>
      <c r="O406" s="34"/>
      <c r="P406" s="34"/>
      <c r="Q406" s="70">
        <f t="shared" si="37"/>
        <v>2458800</v>
      </c>
      <c r="R406" s="63">
        <v>0</v>
      </c>
      <c r="S406" s="31">
        <v>34150</v>
      </c>
      <c r="T406" s="31">
        <f t="shared" si="38"/>
        <v>25612.5</v>
      </c>
    </row>
    <row r="407" spans="1:20" ht="31.5">
      <c r="A407" s="43">
        <f t="shared" si="39"/>
        <v>199</v>
      </c>
      <c r="B407" s="47" t="s">
        <v>458</v>
      </c>
      <c r="C407" s="59">
        <v>234.1</v>
      </c>
      <c r="D407" s="69">
        <v>110.5</v>
      </c>
      <c r="E407" s="34"/>
      <c r="F407" s="34"/>
      <c r="G407" s="34"/>
      <c r="H407" s="59">
        <v>234.1</v>
      </c>
      <c r="I407" s="83">
        <v>7994515</v>
      </c>
      <c r="J407" s="31">
        <f t="shared" si="36"/>
        <v>34150</v>
      </c>
      <c r="K407" s="34"/>
      <c r="L407" s="34"/>
      <c r="M407" s="34"/>
      <c r="N407" s="34"/>
      <c r="O407" s="34"/>
      <c r="P407" s="34"/>
      <c r="Q407" s="70">
        <f t="shared" si="37"/>
        <v>7994515</v>
      </c>
      <c r="R407" s="63">
        <v>0</v>
      </c>
      <c r="S407" s="31">
        <v>34150</v>
      </c>
      <c r="T407" s="31">
        <f t="shared" si="38"/>
        <v>25612.5</v>
      </c>
    </row>
    <row r="408" spans="1:20" ht="47.25">
      <c r="A408" s="43">
        <f t="shared" si="39"/>
        <v>200</v>
      </c>
      <c r="B408" s="47" t="s">
        <v>706</v>
      </c>
      <c r="C408" s="59">
        <v>149.3</v>
      </c>
      <c r="D408" s="69">
        <v>0</v>
      </c>
      <c r="E408" s="34"/>
      <c r="F408" s="34"/>
      <c r="G408" s="34"/>
      <c r="H408" s="59">
        <v>149.3</v>
      </c>
      <c r="I408" s="83">
        <v>5098595</v>
      </c>
      <c r="J408" s="31">
        <f t="shared" si="36"/>
        <v>34150</v>
      </c>
      <c r="K408" s="34"/>
      <c r="L408" s="34"/>
      <c r="M408" s="34"/>
      <c r="N408" s="34"/>
      <c r="O408" s="34"/>
      <c r="P408" s="34"/>
      <c r="Q408" s="70">
        <f t="shared" si="37"/>
        <v>5098595</v>
      </c>
      <c r="R408" s="63">
        <v>0</v>
      </c>
      <c r="S408" s="31">
        <v>34150</v>
      </c>
      <c r="T408" s="31">
        <f t="shared" si="38"/>
        <v>25612.5</v>
      </c>
    </row>
    <row r="409" spans="1:20" ht="15.75">
      <c r="A409" s="184" t="s">
        <v>447</v>
      </c>
      <c r="B409" s="184"/>
      <c r="C409" s="31">
        <v>3057.03</v>
      </c>
      <c r="D409" s="69">
        <v>2448.73</v>
      </c>
      <c r="E409" s="34"/>
      <c r="F409" s="34"/>
      <c r="G409" s="34"/>
      <c r="H409" s="31">
        <v>3057.03</v>
      </c>
      <c r="I409" s="63">
        <v>104397574.5</v>
      </c>
      <c r="J409" s="31">
        <f t="shared" si="36"/>
        <v>34150</v>
      </c>
      <c r="K409" s="34"/>
      <c r="L409" s="34"/>
      <c r="M409" s="34"/>
      <c r="N409" s="34"/>
      <c r="O409" s="34"/>
      <c r="P409" s="34"/>
      <c r="Q409" s="70">
        <f t="shared" si="37"/>
        <v>104397574.5</v>
      </c>
      <c r="R409" s="63">
        <v>0</v>
      </c>
      <c r="S409" s="31">
        <v>34150</v>
      </c>
      <c r="T409" s="31">
        <f t="shared" si="38"/>
        <v>25612.5</v>
      </c>
    </row>
    <row r="410" spans="1:20" ht="31.5">
      <c r="A410" s="10">
        <f>A408+1</f>
        <v>201</v>
      </c>
      <c r="B410" s="91" t="s">
        <v>459</v>
      </c>
      <c r="C410" s="31">
        <v>196.8</v>
      </c>
      <c r="D410" s="69">
        <v>196.8</v>
      </c>
      <c r="E410" s="34"/>
      <c r="F410" s="34"/>
      <c r="G410" s="34"/>
      <c r="H410" s="31">
        <v>196.8</v>
      </c>
      <c r="I410" s="63">
        <v>6720720</v>
      </c>
      <c r="J410" s="31">
        <f t="shared" si="36"/>
        <v>34150</v>
      </c>
      <c r="K410" s="34"/>
      <c r="L410" s="34"/>
      <c r="M410" s="34"/>
      <c r="N410" s="34"/>
      <c r="O410" s="34"/>
      <c r="P410" s="34"/>
      <c r="Q410" s="70">
        <f t="shared" si="37"/>
        <v>6720720</v>
      </c>
      <c r="R410" s="63">
        <v>0</v>
      </c>
      <c r="S410" s="31">
        <v>34150</v>
      </c>
      <c r="T410" s="31">
        <f t="shared" si="38"/>
        <v>25612.5</v>
      </c>
    </row>
    <row r="411" spans="1:20" ht="31.5">
      <c r="A411" s="10">
        <f>A410+1</f>
        <v>202</v>
      </c>
      <c r="B411" s="91" t="s">
        <v>460</v>
      </c>
      <c r="C411" s="31">
        <v>310.2</v>
      </c>
      <c r="D411" s="69">
        <v>310.2</v>
      </c>
      <c r="E411" s="34"/>
      <c r="F411" s="34"/>
      <c r="G411" s="34"/>
      <c r="H411" s="31">
        <v>310.2</v>
      </c>
      <c r="I411" s="63">
        <v>10593330</v>
      </c>
      <c r="J411" s="31">
        <f t="shared" si="36"/>
        <v>34150</v>
      </c>
      <c r="K411" s="34"/>
      <c r="L411" s="34"/>
      <c r="M411" s="34"/>
      <c r="N411" s="34"/>
      <c r="O411" s="34"/>
      <c r="P411" s="34"/>
      <c r="Q411" s="70">
        <f t="shared" si="37"/>
        <v>10593330</v>
      </c>
      <c r="R411" s="63">
        <v>0</v>
      </c>
      <c r="S411" s="31">
        <v>34150</v>
      </c>
      <c r="T411" s="31">
        <f t="shared" si="38"/>
        <v>25612.5</v>
      </c>
    </row>
    <row r="412" spans="1:20" ht="31.5">
      <c r="A412" s="10">
        <f aca="true" t="shared" si="40" ref="A412:A426">A411+1</f>
        <v>203</v>
      </c>
      <c r="B412" s="11" t="s">
        <v>461</v>
      </c>
      <c r="C412" s="31">
        <v>226.4</v>
      </c>
      <c r="D412" s="69">
        <v>121.7</v>
      </c>
      <c r="E412" s="34"/>
      <c r="F412" s="34"/>
      <c r="G412" s="34"/>
      <c r="H412" s="31">
        <v>226.4</v>
      </c>
      <c r="I412" s="63">
        <v>7731560</v>
      </c>
      <c r="J412" s="31">
        <f t="shared" si="36"/>
        <v>34150</v>
      </c>
      <c r="K412" s="34"/>
      <c r="L412" s="34"/>
      <c r="M412" s="34"/>
      <c r="N412" s="34"/>
      <c r="O412" s="34"/>
      <c r="P412" s="34"/>
      <c r="Q412" s="70">
        <f t="shared" si="37"/>
        <v>7731560</v>
      </c>
      <c r="R412" s="63">
        <v>0</v>
      </c>
      <c r="S412" s="31">
        <v>34150</v>
      </c>
      <c r="T412" s="31">
        <f t="shared" si="38"/>
        <v>25612.5</v>
      </c>
    </row>
    <row r="413" spans="1:20" ht="31.5">
      <c r="A413" s="10">
        <f t="shared" si="40"/>
        <v>204</v>
      </c>
      <c r="B413" s="11" t="s">
        <v>462</v>
      </c>
      <c r="C413" s="31">
        <v>498.81</v>
      </c>
      <c r="D413" s="69">
        <v>498.81</v>
      </c>
      <c r="E413" s="34"/>
      <c r="F413" s="34"/>
      <c r="G413" s="34"/>
      <c r="H413" s="31">
        <v>498.81</v>
      </c>
      <c r="I413" s="63">
        <v>17034361.5</v>
      </c>
      <c r="J413" s="31">
        <f t="shared" si="36"/>
        <v>34150</v>
      </c>
      <c r="K413" s="34"/>
      <c r="L413" s="34"/>
      <c r="M413" s="34"/>
      <c r="N413" s="34"/>
      <c r="O413" s="34"/>
      <c r="P413" s="34"/>
      <c r="Q413" s="70">
        <f t="shared" si="37"/>
        <v>17034361.5</v>
      </c>
      <c r="R413" s="63">
        <v>0</v>
      </c>
      <c r="S413" s="31">
        <v>34150</v>
      </c>
      <c r="T413" s="31">
        <f t="shared" si="38"/>
        <v>25612.5</v>
      </c>
    </row>
    <row r="414" spans="1:20" ht="31.5">
      <c r="A414" s="10">
        <f t="shared" si="40"/>
        <v>205</v>
      </c>
      <c r="B414" s="11" t="s">
        <v>463</v>
      </c>
      <c r="C414" s="31">
        <v>504.9</v>
      </c>
      <c r="D414" s="69">
        <v>333.4</v>
      </c>
      <c r="E414" s="34"/>
      <c r="F414" s="34"/>
      <c r="G414" s="34"/>
      <c r="H414" s="31">
        <v>504.9</v>
      </c>
      <c r="I414" s="63">
        <v>17242335</v>
      </c>
      <c r="J414" s="31">
        <f t="shared" si="36"/>
        <v>34150</v>
      </c>
      <c r="K414" s="34"/>
      <c r="L414" s="34"/>
      <c r="M414" s="34"/>
      <c r="N414" s="34"/>
      <c r="O414" s="34"/>
      <c r="P414" s="34"/>
      <c r="Q414" s="70">
        <f t="shared" si="37"/>
        <v>17242335</v>
      </c>
      <c r="R414" s="63">
        <v>0</v>
      </c>
      <c r="S414" s="31">
        <v>34150</v>
      </c>
      <c r="T414" s="31">
        <f t="shared" si="38"/>
        <v>25612.5</v>
      </c>
    </row>
    <row r="415" spans="1:20" ht="31.5">
      <c r="A415" s="10">
        <f t="shared" si="40"/>
        <v>206</v>
      </c>
      <c r="B415" s="91" t="s">
        <v>464</v>
      </c>
      <c r="C415" s="31">
        <v>179.4</v>
      </c>
      <c r="D415" s="69">
        <v>179.4</v>
      </c>
      <c r="E415" s="34"/>
      <c r="F415" s="34"/>
      <c r="G415" s="34"/>
      <c r="H415" s="31">
        <v>179.4</v>
      </c>
      <c r="I415" s="63">
        <v>6126510</v>
      </c>
      <c r="J415" s="31">
        <f t="shared" si="36"/>
        <v>34150</v>
      </c>
      <c r="K415" s="34"/>
      <c r="L415" s="34"/>
      <c r="M415" s="34"/>
      <c r="N415" s="34"/>
      <c r="O415" s="34"/>
      <c r="P415" s="34"/>
      <c r="Q415" s="70">
        <f t="shared" si="37"/>
        <v>6126510</v>
      </c>
      <c r="R415" s="63">
        <v>0</v>
      </c>
      <c r="S415" s="31">
        <v>34150</v>
      </c>
      <c r="T415" s="31">
        <f t="shared" si="38"/>
        <v>25612.5</v>
      </c>
    </row>
    <row r="416" spans="1:20" ht="31.5">
      <c r="A416" s="10">
        <f t="shared" si="40"/>
        <v>207</v>
      </c>
      <c r="B416" s="91" t="s">
        <v>465</v>
      </c>
      <c r="C416" s="31">
        <v>169.1</v>
      </c>
      <c r="D416" s="69">
        <v>169.1</v>
      </c>
      <c r="E416" s="34"/>
      <c r="F416" s="34"/>
      <c r="G416" s="34"/>
      <c r="H416" s="31">
        <v>169.1</v>
      </c>
      <c r="I416" s="63">
        <v>5774765</v>
      </c>
      <c r="J416" s="31">
        <f t="shared" si="36"/>
        <v>34150</v>
      </c>
      <c r="K416" s="34"/>
      <c r="L416" s="34"/>
      <c r="M416" s="34"/>
      <c r="N416" s="34"/>
      <c r="O416" s="34"/>
      <c r="P416" s="34"/>
      <c r="Q416" s="70">
        <f t="shared" si="37"/>
        <v>5774765</v>
      </c>
      <c r="R416" s="63">
        <v>0</v>
      </c>
      <c r="S416" s="31">
        <v>34150</v>
      </c>
      <c r="T416" s="31">
        <f t="shared" si="38"/>
        <v>25612.5</v>
      </c>
    </row>
    <row r="417" spans="1:20" ht="31.5">
      <c r="A417" s="10">
        <f t="shared" si="40"/>
        <v>208</v>
      </c>
      <c r="B417" s="91" t="s">
        <v>466</v>
      </c>
      <c r="C417" s="31">
        <v>39.6</v>
      </c>
      <c r="D417" s="69">
        <v>0</v>
      </c>
      <c r="E417" s="34"/>
      <c r="F417" s="34"/>
      <c r="G417" s="34"/>
      <c r="H417" s="31">
        <v>39.6</v>
      </c>
      <c r="I417" s="63">
        <v>1352340</v>
      </c>
      <c r="J417" s="31">
        <f t="shared" si="36"/>
        <v>34150</v>
      </c>
      <c r="K417" s="34"/>
      <c r="L417" s="34"/>
      <c r="M417" s="34"/>
      <c r="N417" s="34"/>
      <c r="O417" s="34"/>
      <c r="P417" s="34"/>
      <c r="Q417" s="70">
        <f t="shared" si="37"/>
        <v>1352340</v>
      </c>
      <c r="R417" s="63">
        <v>0</v>
      </c>
      <c r="S417" s="31">
        <v>34150</v>
      </c>
      <c r="T417" s="31">
        <f t="shared" si="38"/>
        <v>25612.5</v>
      </c>
    </row>
    <row r="418" spans="1:20" ht="31.5">
      <c r="A418" s="10">
        <f t="shared" si="40"/>
        <v>209</v>
      </c>
      <c r="B418" s="91" t="s">
        <v>467</v>
      </c>
      <c r="C418" s="31">
        <v>153.52</v>
      </c>
      <c r="D418" s="69">
        <v>153.52</v>
      </c>
      <c r="E418" s="34"/>
      <c r="F418" s="34"/>
      <c r="G418" s="34"/>
      <c r="H418" s="31">
        <v>153.52</v>
      </c>
      <c r="I418" s="63">
        <v>5242708</v>
      </c>
      <c r="J418" s="31">
        <f t="shared" si="36"/>
        <v>34150</v>
      </c>
      <c r="K418" s="34"/>
      <c r="L418" s="34"/>
      <c r="M418" s="34"/>
      <c r="N418" s="34"/>
      <c r="O418" s="34"/>
      <c r="P418" s="34"/>
      <c r="Q418" s="70">
        <f t="shared" si="37"/>
        <v>5242708</v>
      </c>
      <c r="R418" s="63">
        <v>0</v>
      </c>
      <c r="S418" s="31">
        <v>34150</v>
      </c>
      <c r="T418" s="31">
        <f t="shared" si="38"/>
        <v>25612.5</v>
      </c>
    </row>
    <row r="419" spans="1:20" ht="31.5">
      <c r="A419" s="10">
        <f t="shared" si="40"/>
        <v>210</v>
      </c>
      <c r="B419" s="91" t="s">
        <v>468</v>
      </c>
      <c r="C419" s="31">
        <v>48</v>
      </c>
      <c r="D419" s="69">
        <v>48</v>
      </c>
      <c r="E419" s="34"/>
      <c r="F419" s="34"/>
      <c r="G419" s="34"/>
      <c r="H419" s="31">
        <v>48</v>
      </c>
      <c r="I419" s="63">
        <v>1639200</v>
      </c>
      <c r="J419" s="31">
        <f t="shared" si="36"/>
        <v>34150</v>
      </c>
      <c r="K419" s="34"/>
      <c r="L419" s="34"/>
      <c r="M419" s="34"/>
      <c r="N419" s="34"/>
      <c r="O419" s="34"/>
      <c r="P419" s="34"/>
      <c r="Q419" s="70">
        <f t="shared" si="37"/>
        <v>1639200</v>
      </c>
      <c r="R419" s="63">
        <v>0</v>
      </c>
      <c r="S419" s="31">
        <v>34150</v>
      </c>
      <c r="T419" s="31">
        <f t="shared" si="38"/>
        <v>25612.5</v>
      </c>
    </row>
    <row r="420" spans="1:20" ht="31.5">
      <c r="A420" s="10">
        <f t="shared" si="40"/>
        <v>211</v>
      </c>
      <c r="B420" s="11" t="s">
        <v>469</v>
      </c>
      <c r="C420" s="31">
        <v>165.4</v>
      </c>
      <c r="D420" s="69">
        <v>26.5</v>
      </c>
      <c r="E420" s="34"/>
      <c r="F420" s="34"/>
      <c r="G420" s="34"/>
      <c r="H420" s="31">
        <v>165.4</v>
      </c>
      <c r="I420" s="63">
        <v>5648409.999999999</v>
      </c>
      <c r="J420" s="31">
        <f t="shared" si="36"/>
        <v>34149.99999999999</v>
      </c>
      <c r="K420" s="34"/>
      <c r="L420" s="34"/>
      <c r="M420" s="34"/>
      <c r="N420" s="34"/>
      <c r="O420" s="34"/>
      <c r="P420" s="34"/>
      <c r="Q420" s="70">
        <f t="shared" si="37"/>
        <v>5648409.999999999</v>
      </c>
      <c r="R420" s="63">
        <v>0</v>
      </c>
      <c r="S420" s="31">
        <v>34150</v>
      </c>
      <c r="T420" s="31">
        <f t="shared" si="38"/>
        <v>25612.5</v>
      </c>
    </row>
    <row r="421" spans="1:20" ht="31.5">
      <c r="A421" s="10">
        <f t="shared" si="40"/>
        <v>212</v>
      </c>
      <c r="B421" s="91" t="s">
        <v>470</v>
      </c>
      <c r="C421" s="31">
        <v>97.8</v>
      </c>
      <c r="D421" s="69">
        <v>97.8</v>
      </c>
      <c r="E421" s="34"/>
      <c r="F421" s="34"/>
      <c r="G421" s="34"/>
      <c r="H421" s="31">
        <v>97.8</v>
      </c>
      <c r="I421" s="63">
        <v>3339870</v>
      </c>
      <c r="J421" s="31">
        <f t="shared" si="36"/>
        <v>34150</v>
      </c>
      <c r="K421" s="34"/>
      <c r="L421" s="34"/>
      <c r="M421" s="34"/>
      <c r="N421" s="34"/>
      <c r="O421" s="34"/>
      <c r="P421" s="34"/>
      <c r="Q421" s="70">
        <f t="shared" si="37"/>
        <v>3339870</v>
      </c>
      <c r="R421" s="63">
        <v>0</v>
      </c>
      <c r="S421" s="31">
        <v>34150</v>
      </c>
      <c r="T421" s="31">
        <f t="shared" si="38"/>
        <v>25612.5</v>
      </c>
    </row>
    <row r="422" spans="1:20" ht="31.5">
      <c r="A422" s="10">
        <f t="shared" si="40"/>
        <v>213</v>
      </c>
      <c r="B422" s="11" t="s">
        <v>471</v>
      </c>
      <c r="C422" s="31">
        <v>94.5</v>
      </c>
      <c r="D422" s="69">
        <v>94.5</v>
      </c>
      <c r="E422" s="25"/>
      <c r="F422" s="28"/>
      <c r="G422" s="28"/>
      <c r="H422" s="31">
        <v>94.5</v>
      </c>
      <c r="I422" s="63">
        <v>3227175</v>
      </c>
      <c r="J422" s="31">
        <f t="shared" si="36"/>
        <v>34150</v>
      </c>
      <c r="K422" s="25"/>
      <c r="L422" s="25"/>
      <c r="M422" s="25"/>
      <c r="N422" s="25"/>
      <c r="O422" s="25"/>
      <c r="P422" s="25"/>
      <c r="Q422" s="70">
        <f t="shared" si="37"/>
        <v>3227175</v>
      </c>
      <c r="R422" s="24">
        <v>0</v>
      </c>
      <c r="S422" s="31">
        <v>34150</v>
      </c>
      <c r="T422" s="31">
        <f t="shared" si="38"/>
        <v>25612.5</v>
      </c>
    </row>
    <row r="423" spans="1:20" ht="31.5">
      <c r="A423" s="10">
        <f t="shared" si="40"/>
        <v>214</v>
      </c>
      <c r="B423" s="91" t="s">
        <v>472</v>
      </c>
      <c r="C423" s="31">
        <v>96.6</v>
      </c>
      <c r="D423" s="69">
        <v>96.6</v>
      </c>
      <c r="E423" s="85"/>
      <c r="F423" s="110"/>
      <c r="G423" s="110"/>
      <c r="H423" s="31">
        <v>96.6</v>
      </c>
      <c r="I423" s="63">
        <v>3298890</v>
      </c>
      <c r="J423" s="31">
        <f t="shared" si="36"/>
        <v>34150</v>
      </c>
      <c r="K423" s="85"/>
      <c r="L423" s="85"/>
      <c r="M423" s="85"/>
      <c r="N423" s="85"/>
      <c r="O423" s="85"/>
      <c r="P423" s="85"/>
      <c r="Q423" s="70">
        <f t="shared" si="37"/>
        <v>3298890</v>
      </c>
      <c r="R423" s="78">
        <v>0</v>
      </c>
      <c r="S423" s="31">
        <v>34150</v>
      </c>
      <c r="T423" s="31">
        <f t="shared" si="38"/>
        <v>25612.5</v>
      </c>
    </row>
    <row r="424" spans="1:20" ht="31.5">
      <c r="A424" s="10">
        <f t="shared" si="40"/>
        <v>215</v>
      </c>
      <c r="B424" s="91" t="s">
        <v>473</v>
      </c>
      <c r="C424" s="31">
        <v>81.1</v>
      </c>
      <c r="D424" s="69">
        <v>81.1</v>
      </c>
      <c r="E424" s="85"/>
      <c r="F424" s="110"/>
      <c r="G424" s="110"/>
      <c r="H424" s="31">
        <v>81.1</v>
      </c>
      <c r="I424" s="63">
        <v>2769565</v>
      </c>
      <c r="J424" s="31">
        <f t="shared" si="36"/>
        <v>34150</v>
      </c>
      <c r="K424" s="85"/>
      <c r="L424" s="85"/>
      <c r="M424" s="85"/>
      <c r="N424" s="85"/>
      <c r="O424" s="85"/>
      <c r="P424" s="85"/>
      <c r="Q424" s="70">
        <f t="shared" si="37"/>
        <v>2769565</v>
      </c>
      <c r="R424" s="78">
        <v>0</v>
      </c>
      <c r="S424" s="31">
        <v>34150</v>
      </c>
      <c r="T424" s="31">
        <f t="shared" si="38"/>
        <v>25612.5</v>
      </c>
    </row>
    <row r="425" spans="1:20" ht="31.5">
      <c r="A425" s="10">
        <f t="shared" si="40"/>
        <v>216</v>
      </c>
      <c r="B425" s="11" t="s">
        <v>474</v>
      </c>
      <c r="C425" s="31">
        <v>144.6</v>
      </c>
      <c r="D425" s="69">
        <v>13.8</v>
      </c>
      <c r="E425" s="85"/>
      <c r="F425" s="110"/>
      <c r="G425" s="110"/>
      <c r="H425" s="31">
        <v>144.6</v>
      </c>
      <c r="I425" s="63">
        <v>4938090</v>
      </c>
      <c r="J425" s="31">
        <f t="shared" si="36"/>
        <v>34150</v>
      </c>
      <c r="K425" s="85"/>
      <c r="L425" s="85"/>
      <c r="M425" s="85"/>
      <c r="N425" s="85"/>
      <c r="O425" s="85"/>
      <c r="P425" s="85"/>
      <c r="Q425" s="70">
        <f t="shared" si="37"/>
        <v>4938090</v>
      </c>
      <c r="R425" s="78">
        <v>0</v>
      </c>
      <c r="S425" s="31">
        <v>34150</v>
      </c>
      <c r="T425" s="31">
        <f t="shared" si="38"/>
        <v>25612.5</v>
      </c>
    </row>
    <row r="426" spans="1:20" ht="31.5">
      <c r="A426" s="10">
        <f t="shared" si="40"/>
        <v>217</v>
      </c>
      <c r="B426" s="11" t="s">
        <v>475</v>
      </c>
      <c r="C426" s="31">
        <v>50.3</v>
      </c>
      <c r="D426" s="69">
        <v>27.5</v>
      </c>
      <c r="E426" s="85"/>
      <c r="F426" s="110"/>
      <c r="G426" s="110"/>
      <c r="H426" s="31">
        <v>50.3</v>
      </c>
      <c r="I426" s="63">
        <v>1717745</v>
      </c>
      <c r="J426" s="31">
        <f t="shared" si="36"/>
        <v>34150</v>
      </c>
      <c r="K426" s="85"/>
      <c r="L426" s="85"/>
      <c r="M426" s="85"/>
      <c r="N426" s="85"/>
      <c r="O426" s="85"/>
      <c r="P426" s="85"/>
      <c r="Q426" s="70">
        <f t="shared" si="37"/>
        <v>1717745</v>
      </c>
      <c r="R426" s="78">
        <v>0</v>
      </c>
      <c r="S426" s="31">
        <v>34150</v>
      </c>
      <c r="T426" s="31">
        <f t="shared" si="38"/>
        <v>25612.5</v>
      </c>
    </row>
    <row r="427" spans="1:20" ht="15.75">
      <c r="A427" s="185" t="s">
        <v>476</v>
      </c>
      <c r="B427" s="185"/>
      <c r="C427" s="85">
        <v>568.7</v>
      </c>
      <c r="D427" s="69">
        <v>162.2</v>
      </c>
      <c r="E427" s="34"/>
      <c r="F427" s="34"/>
      <c r="G427" s="34"/>
      <c r="H427" s="85">
        <v>568.7</v>
      </c>
      <c r="I427" s="84">
        <v>19421105</v>
      </c>
      <c r="J427" s="31">
        <f t="shared" si="36"/>
        <v>34150</v>
      </c>
      <c r="K427" s="32"/>
      <c r="L427" s="34"/>
      <c r="M427" s="34"/>
      <c r="N427" s="34"/>
      <c r="O427" s="32"/>
      <c r="P427" s="32"/>
      <c r="Q427" s="70">
        <f t="shared" si="37"/>
        <v>19421105</v>
      </c>
      <c r="R427" s="63">
        <v>0</v>
      </c>
      <c r="S427" s="31">
        <v>34150</v>
      </c>
      <c r="T427" s="31">
        <f t="shared" si="38"/>
        <v>25612.5</v>
      </c>
    </row>
    <row r="428" spans="1:20" ht="47.25">
      <c r="A428" s="26">
        <v>218</v>
      </c>
      <c r="B428" s="91" t="s">
        <v>477</v>
      </c>
      <c r="C428" s="85">
        <v>234</v>
      </c>
      <c r="D428" s="69">
        <v>0</v>
      </c>
      <c r="E428" s="34"/>
      <c r="F428" s="34"/>
      <c r="G428" s="34"/>
      <c r="H428" s="85">
        <v>234</v>
      </c>
      <c r="I428" s="78">
        <v>7991100</v>
      </c>
      <c r="J428" s="31">
        <f t="shared" si="36"/>
        <v>34150</v>
      </c>
      <c r="K428" s="34"/>
      <c r="L428" s="34"/>
      <c r="M428" s="34"/>
      <c r="N428" s="34"/>
      <c r="O428" s="34"/>
      <c r="P428" s="34"/>
      <c r="Q428" s="70">
        <f t="shared" si="37"/>
        <v>7991100</v>
      </c>
      <c r="R428" s="63">
        <v>0</v>
      </c>
      <c r="S428" s="31">
        <v>34150</v>
      </c>
      <c r="T428" s="31">
        <f t="shared" si="38"/>
        <v>25612.5</v>
      </c>
    </row>
    <row r="429" spans="1:20" ht="47.25">
      <c r="A429" s="26">
        <f>A428+1</f>
        <v>219</v>
      </c>
      <c r="B429" s="91" t="s">
        <v>478</v>
      </c>
      <c r="C429" s="85">
        <v>172.5</v>
      </c>
      <c r="D429" s="69">
        <v>0</v>
      </c>
      <c r="E429" s="34"/>
      <c r="F429" s="34"/>
      <c r="G429" s="34"/>
      <c r="H429" s="85">
        <v>172.5</v>
      </c>
      <c r="I429" s="78">
        <v>5890875</v>
      </c>
      <c r="J429" s="31">
        <f t="shared" si="36"/>
        <v>34150</v>
      </c>
      <c r="K429" s="34"/>
      <c r="L429" s="34"/>
      <c r="M429" s="34"/>
      <c r="N429" s="34"/>
      <c r="O429" s="34"/>
      <c r="P429" s="34"/>
      <c r="Q429" s="70">
        <f t="shared" si="37"/>
        <v>5890875</v>
      </c>
      <c r="R429" s="63">
        <v>0</v>
      </c>
      <c r="S429" s="31">
        <v>34150</v>
      </c>
      <c r="T429" s="31">
        <f t="shared" si="38"/>
        <v>25612.5</v>
      </c>
    </row>
    <row r="430" spans="1:20" ht="47.25">
      <c r="A430" s="26">
        <f>A429+1</f>
        <v>220</v>
      </c>
      <c r="B430" s="91" t="s">
        <v>479</v>
      </c>
      <c r="C430" s="85">
        <v>127.1</v>
      </c>
      <c r="D430" s="69">
        <v>127.1</v>
      </c>
      <c r="E430" s="34"/>
      <c r="F430" s="34"/>
      <c r="G430" s="34"/>
      <c r="H430" s="85">
        <v>127.1</v>
      </c>
      <c r="I430" s="78">
        <v>4340465</v>
      </c>
      <c r="J430" s="31">
        <f t="shared" si="36"/>
        <v>34150</v>
      </c>
      <c r="K430" s="34"/>
      <c r="L430" s="34"/>
      <c r="M430" s="34"/>
      <c r="N430" s="34"/>
      <c r="O430" s="34"/>
      <c r="P430" s="34"/>
      <c r="Q430" s="70">
        <f t="shared" si="37"/>
        <v>4340465</v>
      </c>
      <c r="R430" s="63">
        <v>0</v>
      </c>
      <c r="S430" s="31">
        <v>34150</v>
      </c>
      <c r="T430" s="31">
        <f t="shared" si="38"/>
        <v>25612.5</v>
      </c>
    </row>
    <row r="431" spans="1:20" ht="47.25">
      <c r="A431" s="26">
        <f>A430+1</f>
        <v>221</v>
      </c>
      <c r="B431" s="91" t="s">
        <v>480</v>
      </c>
      <c r="C431" s="85">
        <v>35.1</v>
      </c>
      <c r="D431" s="69">
        <v>35.1</v>
      </c>
      <c r="E431" s="34"/>
      <c r="F431" s="34"/>
      <c r="G431" s="34"/>
      <c r="H431" s="85">
        <v>35.1</v>
      </c>
      <c r="I431" s="78">
        <v>1198665</v>
      </c>
      <c r="J431" s="31">
        <f t="shared" si="36"/>
        <v>34150</v>
      </c>
      <c r="K431" s="34"/>
      <c r="L431" s="34"/>
      <c r="M431" s="34"/>
      <c r="N431" s="34"/>
      <c r="O431" s="34"/>
      <c r="P431" s="34"/>
      <c r="Q431" s="70">
        <f t="shared" si="37"/>
        <v>1198665</v>
      </c>
      <c r="R431" s="63">
        <v>0</v>
      </c>
      <c r="S431" s="31">
        <v>34150</v>
      </c>
      <c r="T431" s="31">
        <f t="shared" si="38"/>
        <v>25612.5</v>
      </c>
    </row>
    <row r="432" spans="1:20" ht="15.75">
      <c r="A432" s="184" t="s">
        <v>481</v>
      </c>
      <c r="B432" s="184"/>
      <c r="C432" s="31">
        <v>3016.7</v>
      </c>
      <c r="D432" s="69">
        <v>1605.9</v>
      </c>
      <c r="E432" s="34"/>
      <c r="F432" s="34"/>
      <c r="G432" s="34"/>
      <c r="H432" s="31">
        <v>3016.7</v>
      </c>
      <c r="I432" s="63">
        <v>103020305</v>
      </c>
      <c r="J432" s="31">
        <f t="shared" si="36"/>
        <v>34150</v>
      </c>
      <c r="K432" s="34"/>
      <c r="L432" s="34"/>
      <c r="M432" s="34"/>
      <c r="N432" s="34"/>
      <c r="O432" s="34"/>
      <c r="P432" s="34"/>
      <c r="Q432" s="70">
        <f t="shared" si="37"/>
        <v>103020305</v>
      </c>
      <c r="R432" s="63">
        <v>0</v>
      </c>
      <c r="S432" s="31">
        <v>34150</v>
      </c>
      <c r="T432" s="31">
        <f t="shared" si="38"/>
        <v>25612.5</v>
      </c>
    </row>
    <row r="433" spans="1:20" ht="47.25">
      <c r="A433" s="10">
        <v>222</v>
      </c>
      <c r="B433" s="29" t="s">
        <v>482</v>
      </c>
      <c r="C433" s="31">
        <v>187.4</v>
      </c>
      <c r="D433" s="69">
        <v>60.3</v>
      </c>
      <c r="E433" s="34"/>
      <c r="F433" s="34"/>
      <c r="G433" s="34"/>
      <c r="H433" s="31">
        <v>187.4</v>
      </c>
      <c r="I433" s="63">
        <v>6399710</v>
      </c>
      <c r="J433" s="31">
        <f t="shared" si="36"/>
        <v>34150</v>
      </c>
      <c r="K433" s="34"/>
      <c r="L433" s="34"/>
      <c r="M433" s="34"/>
      <c r="N433" s="34"/>
      <c r="O433" s="34"/>
      <c r="P433" s="34"/>
      <c r="Q433" s="70">
        <f t="shared" si="37"/>
        <v>6399710</v>
      </c>
      <c r="R433" s="63">
        <v>0</v>
      </c>
      <c r="S433" s="31">
        <v>34150</v>
      </c>
      <c r="T433" s="31">
        <f t="shared" si="38"/>
        <v>25612.5</v>
      </c>
    </row>
    <row r="434" spans="1:20" ht="47.25">
      <c r="A434" s="10">
        <f>A433+1</f>
        <v>223</v>
      </c>
      <c r="B434" s="29" t="s">
        <v>483</v>
      </c>
      <c r="C434" s="31">
        <v>195.4</v>
      </c>
      <c r="D434" s="69">
        <v>195.4</v>
      </c>
      <c r="E434" s="34"/>
      <c r="F434" s="34"/>
      <c r="G434" s="34"/>
      <c r="H434" s="31">
        <v>195.4</v>
      </c>
      <c r="I434" s="63">
        <v>6672910</v>
      </c>
      <c r="J434" s="31">
        <f t="shared" si="36"/>
        <v>34150</v>
      </c>
      <c r="K434" s="34"/>
      <c r="L434" s="34"/>
      <c r="M434" s="34"/>
      <c r="N434" s="34"/>
      <c r="O434" s="34"/>
      <c r="P434" s="34"/>
      <c r="Q434" s="70">
        <f t="shared" si="37"/>
        <v>6672910</v>
      </c>
      <c r="R434" s="63">
        <v>0</v>
      </c>
      <c r="S434" s="31">
        <v>34150</v>
      </c>
      <c r="T434" s="31">
        <f t="shared" si="38"/>
        <v>25612.5</v>
      </c>
    </row>
    <row r="435" spans="1:20" ht="47.25">
      <c r="A435" s="10">
        <f aca="true" t="shared" si="41" ref="A435:A450">A434+1</f>
        <v>224</v>
      </c>
      <c r="B435" s="29" t="s">
        <v>653</v>
      </c>
      <c r="C435" s="31">
        <v>191.4</v>
      </c>
      <c r="D435" s="69">
        <v>191.4</v>
      </c>
      <c r="E435" s="34"/>
      <c r="F435" s="34"/>
      <c r="G435" s="34"/>
      <c r="H435" s="31">
        <v>191.4</v>
      </c>
      <c r="I435" s="63">
        <v>6536310</v>
      </c>
      <c r="J435" s="31">
        <f t="shared" si="36"/>
        <v>34150</v>
      </c>
      <c r="K435" s="34"/>
      <c r="L435" s="34"/>
      <c r="M435" s="34"/>
      <c r="N435" s="34"/>
      <c r="O435" s="34"/>
      <c r="P435" s="34"/>
      <c r="Q435" s="70">
        <f t="shared" si="37"/>
        <v>6536310</v>
      </c>
      <c r="R435" s="63">
        <v>0</v>
      </c>
      <c r="S435" s="31">
        <v>34150</v>
      </c>
      <c r="T435" s="31">
        <f t="shared" si="38"/>
        <v>25612.5</v>
      </c>
    </row>
    <row r="436" spans="1:20" ht="47.25">
      <c r="A436" s="10">
        <f t="shared" si="41"/>
        <v>225</v>
      </c>
      <c r="B436" s="29" t="s">
        <v>484</v>
      </c>
      <c r="C436" s="31">
        <v>192.7</v>
      </c>
      <c r="D436" s="69">
        <v>192.7</v>
      </c>
      <c r="E436" s="34"/>
      <c r="F436" s="34"/>
      <c r="G436" s="34"/>
      <c r="H436" s="31">
        <v>192.7</v>
      </c>
      <c r="I436" s="63">
        <v>6580705</v>
      </c>
      <c r="J436" s="31">
        <f t="shared" si="36"/>
        <v>34150</v>
      </c>
      <c r="K436" s="34"/>
      <c r="L436" s="34"/>
      <c r="M436" s="34"/>
      <c r="N436" s="34"/>
      <c r="O436" s="34"/>
      <c r="P436" s="34"/>
      <c r="Q436" s="70">
        <f t="shared" si="37"/>
        <v>6580705</v>
      </c>
      <c r="R436" s="63">
        <v>0</v>
      </c>
      <c r="S436" s="31">
        <v>34150</v>
      </c>
      <c r="T436" s="31">
        <f t="shared" si="38"/>
        <v>25612.5</v>
      </c>
    </row>
    <row r="437" spans="1:20" ht="47.25">
      <c r="A437" s="10">
        <f t="shared" si="41"/>
        <v>226</v>
      </c>
      <c r="B437" s="29" t="s">
        <v>485</v>
      </c>
      <c r="C437" s="31">
        <v>182.2</v>
      </c>
      <c r="D437" s="69">
        <v>79</v>
      </c>
      <c r="E437" s="34"/>
      <c r="F437" s="34"/>
      <c r="G437" s="34"/>
      <c r="H437" s="31">
        <v>182.2</v>
      </c>
      <c r="I437" s="63">
        <v>6222130</v>
      </c>
      <c r="J437" s="31">
        <f t="shared" si="36"/>
        <v>34150</v>
      </c>
      <c r="K437" s="34"/>
      <c r="L437" s="34"/>
      <c r="M437" s="34"/>
      <c r="N437" s="34"/>
      <c r="O437" s="34"/>
      <c r="P437" s="34"/>
      <c r="Q437" s="70">
        <f t="shared" si="37"/>
        <v>6222130</v>
      </c>
      <c r="R437" s="63">
        <v>0</v>
      </c>
      <c r="S437" s="31">
        <v>34150</v>
      </c>
      <c r="T437" s="31">
        <f t="shared" si="38"/>
        <v>25612.5</v>
      </c>
    </row>
    <row r="438" spans="1:20" ht="47.25">
      <c r="A438" s="10">
        <f t="shared" si="41"/>
        <v>227</v>
      </c>
      <c r="B438" s="29" t="s">
        <v>486</v>
      </c>
      <c r="C438" s="31">
        <v>131.4</v>
      </c>
      <c r="D438" s="69">
        <v>71.4</v>
      </c>
      <c r="E438" s="34"/>
      <c r="F438" s="34"/>
      <c r="G438" s="34"/>
      <c r="H438" s="31">
        <v>131.4</v>
      </c>
      <c r="I438" s="63">
        <v>4487310</v>
      </c>
      <c r="J438" s="31">
        <f t="shared" si="36"/>
        <v>34150</v>
      </c>
      <c r="K438" s="34"/>
      <c r="L438" s="34"/>
      <c r="M438" s="34"/>
      <c r="N438" s="34"/>
      <c r="O438" s="34"/>
      <c r="P438" s="34"/>
      <c r="Q438" s="70">
        <f t="shared" si="37"/>
        <v>4487310</v>
      </c>
      <c r="R438" s="63">
        <v>0</v>
      </c>
      <c r="S438" s="31">
        <v>34150</v>
      </c>
      <c r="T438" s="31">
        <f t="shared" si="38"/>
        <v>25612.5</v>
      </c>
    </row>
    <row r="439" spans="1:20" ht="47.25">
      <c r="A439" s="10">
        <f t="shared" si="41"/>
        <v>228</v>
      </c>
      <c r="B439" s="29" t="s">
        <v>487</v>
      </c>
      <c r="C439" s="31">
        <v>201.3</v>
      </c>
      <c r="D439" s="69">
        <v>102.9</v>
      </c>
      <c r="E439" s="34"/>
      <c r="F439" s="34"/>
      <c r="G439" s="34"/>
      <c r="H439" s="31">
        <v>201.3</v>
      </c>
      <c r="I439" s="63">
        <v>6874395</v>
      </c>
      <c r="J439" s="31">
        <f t="shared" si="36"/>
        <v>34150</v>
      </c>
      <c r="K439" s="34"/>
      <c r="L439" s="34"/>
      <c r="M439" s="34"/>
      <c r="N439" s="34"/>
      <c r="O439" s="34"/>
      <c r="P439" s="34"/>
      <c r="Q439" s="70">
        <f t="shared" si="37"/>
        <v>6874395</v>
      </c>
      <c r="R439" s="63">
        <v>0</v>
      </c>
      <c r="S439" s="31">
        <v>34150</v>
      </c>
      <c r="T439" s="31">
        <f t="shared" si="38"/>
        <v>25612.5</v>
      </c>
    </row>
    <row r="440" spans="1:20" ht="47.25">
      <c r="A440" s="10">
        <f t="shared" si="41"/>
        <v>229</v>
      </c>
      <c r="B440" s="29" t="s">
        <v>488</v>
      </c>
      <c r="C440" s="31">
        <v>66.7</v>
      </c>
      <c r="D440" s="69">
        <v>0</v>
      </c>
      <c r="E440" s="34"/>
      <c r="F440" s="34"/>
      <c r="G440" s="34"/>
      <c r="H440" s="31">
        <v>66.7</v>
      </c>
      <c r="I440" s="63">
        <v>2277805</v>
      </c>
      <c r="J440" s="31">
        <f t="shared" si="36"/>
        <v>34150</v>
      </c>
      <c r="K440" s="34"/>
      <c r="L440" s="34"/>
      <c r="M440" s="34"/>
      <c r="N440" s="34"/>
      <c r="O440" s="34"/>
      <c r="P440" s="34"/>
      <c r="Q440" s="70">
        <f t="shared" si="37"/>
        <v>2277805</v>
      </c>
      <c r="R440" s="63">
        <v>0</v>
      </c>
      <c r="S440" s="31">
        <v>34150</v>
      </c>
      <c r="T440" s="31">
        <f t="shared" si="38"/>
        <v>25612.5</v>
      </c>
    </row>
    <row r="441" spans="1:20" ht="47.25">
      <c r="A441" s="10">
        <f t="shared" si="41"/>
        <v>230</v>
      </c>
      <c r="B441" s="29" t="s">
        <v>489</v>
      </c>
      <c r="C441" s="31">
        <v>124.5</v>
      </c>
      <c r="D441" s="69">
        <v>59.4</v>
      </c>
      <c r="E441" s="34"/>
      <c r="F441" s="34"/>
      <c r="G441" s="34"/>
      <c r="H441" s="31">
        <v>124.5</v>
      </c>
      <c r="I441" s="63">
        <v>4251675</v>
      </c>
      <c r="J441" s="31">
        <f t="shared" si="36"/>
        <v>34150</v>
      </c>
      <c r="K441" s="34"/>
      <c r="L441" s="34"/>
      <c r="M441" s="34"/>
      <c r="N441" s="34"/>
      <c r="O441" s="34"/>
      <c r="P441" s="34"/>
      <c r="Q441" s="70">
        <f t="shared" si="37"/>
        <v>4251675</v>
      </c>
      <c r="R441" s="63">
        <v>0</v>
      </c>
      <c r="S441" s="31">
        <v>34150</v>
      </c>
      <c r="T441" s="31">
        <f t="shared" si="38"/>
        <v>25612.5</v>
      </c>
    </row>
    <row r="442" spans="1:20" ht="47.25">
      <c r="A442" s="10">
        <f t="shared" si="41"/>
        <v>231</v>
      </c>
      <c r="B442" s="29" t="s">
        <v>490</v>
      </c>
      <c r="C442" s="31">
        <v>167.9</v>
      </c>
      <c r="D442" s="69">
        <v>33.5</v>
      </c>
      <c r="E442" s="34"/>
      <c r="F442" s="34"/>
      <c r="G442" s="34"/>
      <c r="H442" s="31">
        <v>167.9</v>
      </c>
      <c r="I442" s="63">
        <v>5733785</v>
      </c>
      <c r="J442" s="31">
        <f t="shared" si="36"/>
        <v>34150</v>
      </c>
      <c r="K442" s="34"/>
      <c r="L442" s="34"/>
      <c r="M442" s="34"/>
      <c r="N442" s="34"/>
      <c r="O442" s="34"/>
      <c r="P442" s="34"/>
      <c r="Q442" s="70">
        <f t="shared" si="37"/>
        <v>5733785</v>
      </c>
      <c r="R442" s="63">
        <v>0</v>
      </c>
      <c r="S442" s="31">
        <v>34150</v>
      </c>
      <c r="T442" s="31">
        <f t="shared" si="38"/>
        <v>25612.5</v>
      </c>
    </row>
    <row r="443" spans="1:20" ht="47.25">
      <c r="A443" s="10">
        <f t="shared" si="41"/>
        <v>232</v>
      </c>
      <c r="B443" s="29" t="s">
        <v>491</v>
      </c>
      <c r="C443" s="31">
        <v>84.1</v>
      </c>
      <c r="D443" s="69">
        <v>53.1</v>
      </c>
      <c r="E443" s="34"/>
      <c r="F443" s="34"/>
      <c r="G443" s="34"/>
      <c r="H443" s="31">
        <v>84.1</v>
      </c>
      <c r="I443" s="63">
        <v>2872015</v>
      </c>
      <c r="J443" s="31">
        <f t="shared" si="36"/>
        <v>34150</v>
      </c>
      <c r="K443" s="34"/>
      <c r="L443" s="34"/>
      <c r="M443" s="34"/>
      <c r="N443" s="34"/>
      <c r="O443" s="34"/>
      <c r="P443" s="34"/>
      <c r="Q443" s="70">
        <f t="shared" si="37"/>
        <v>2872015</v>
      </c>
      <c r="R443" s="63">
        <v>0</v>
      </c>
      <c r="S443" s="31">
        <v>34150</v>
      </c>
      <c r="T443" s="31">
        <f t="shared" si="38"/>
        <v>25612.5</v>
      </c>
    </row>
    <row r="444" spans="1:20" ht="47.25">
      <c r="A444" s="10">
        <f t="shared" si="41"/>
        <v>233</v>
      </c>
      <c r="B444" s="29" t="s">
        <v>492</v>
      </c>
      <c r="C444" s="31">
        <v>124.6</v>
      </c>
      <c r="D444" s="69">
        <v>124.6</v>
      </c>
      <c r="E444" s="34"/>
      <c r="F444" s="34"/>
      <c r="G444" s="34"/>
      <c r="H444" s="31">
        <v>124.6</v>
      </c>
      <c r="I444" s="63">
        <v>4255090</v>
      </c>
      <c r="J444" s="31">
        <f t="shared" si="36"/>
        <v>34150</v>
      </c>
      <c r="K444" s="34"/>
      <c r="L444" s="34"/>
      <c r="M444" s="34"/>
      <c r="N444" s="34"/>
      <c r="O444" s="34"/>
      <c r="P444" s="34"/>
      <c r="Q444" s="70">
        <f t="shared" si="37"/>
        <v>4255090</v>
      </c>
      <c r="R444" s="63">
        <v>0</v>
      </c>
      <c r="S444" s="31">
        <v>34150</v>
      </c>
      <c r="T444" s="31">
        <f t="shared" si="38"/>
        <v>25612.5</v>
      </c>
    </row>
    <row r="445" spans="1:20" ht="47.25">
      <c r="A445" s="10">
        <f t="shared" si="41"/>
        <v>234</v>
      </c>
      <c r="B445" s="29" t="s">
        <v>493</v>
      </c>
      <c r="C445" s="31">
        <v>136.7</v>
      </c>
      <c r="D445" s="69">
        <v>45.9</v>
      </c>
      <c r="E445" s="34"/>
      <c r="F445" s="34"/>
      <c r="G445" s="34"/>
      <c r="H445" s="31">
        <v>136.7</v>
      </c>
      <c r="I445" s="63">
        <v>4668305</v>
      </c>
      <c r="J445" s="31">
        <f t="shared" si="36"/>
        <v>34150</v>
      </c>
      <c r="K445" s="34"/>
      <c r="L445" s="34"/>
      <c r="M445" s="34"/>
      <c r="N445" s="34"/>
      <c r="O445" s="34"/>
      <c r="P445" s="34"/>
      <c r="Q445" s="70">
        <f t="shared" si="37"/>
        <v>4668305</v>
      </c>
      <c r="R445" s="63">
        <v>0</v>
      </c>
      <c r="S445" s="31">
        <v>34150</v>
      </c>
      <c r="T445" s="31">
        <f t="shared" si="38"/>
        <v>25612.5</v>
      </c>
    </row>
    <row r="446" spans="1:20" ht="47.25">
      <c r="A446" s="10">
        <f t="shared" si="41"/>
        <v>235</v>
      </c>
      <c r="B446" s="29" t="s">
        <v>494</v>
      </c>
      <c r="C446" s="31">
        <v>59.9</v>
      </c>
      <c r="D446" s="69">
        <v>0</v>
      </c>
      <c r="E446" s="34"/>
      <c r="F446" s="34"/>
      <c r="G446" s="34"/>
      <c r="H446" s="31">
        <v>59.9</v>
      </c>
      <c r="I446" s="63">
        <v>2045585</v>
      </c>
      <c r="J446" s="31">
        <f t="shared" si="36"/>
        <v>34150</v>
      </c>
      <c r="K446" s="32"/>
      <c r="L446" s="34"/>
      <c r="M446" s="34"/>
      <c r="N446" s="34"/>
      <c r="O446" s="32"/>
      <c r="P446" s="32"/>
      <c r="Q446" s="70">
        <f t="shared" si="37"/>
        <v>2045585</v>
      </c>
      <c r="R446" s="63">
        <v>0</v>
      </c>
      <c r="S446" s="31">
        <v>34150</v>
      </c>
      <c r="T446" s="31">
        <f t="shared" si="38"/>
        <v>25612.5</v>
      </c>
    </row>
    <row r="447" spans="1:20" ht="47.25">
      <c r="A447" s="10">
        <f t="shared" si="41"/>
        <v>236</v>
      </c>
      <c r="B447" s="29" t="s">
        <v>495</v>
      </c>
      <c r="C447" s="31">
        <v>92.9</v>
      </c>
      <c r="D447" s="69">
        <v>0</v>
      </c>
      <c r="E447" s="34"/>
      <c r="F447" s="34"/>
      <c r="G447" s="34"/>
      <c r="H447" s="31">
        <v>92.9</v>
      </c>
      <c r="I447" s="63">
        <v>3172535</v>
      </c>
      <c r="J447" s="31">
        <f t="shared" si="36"/>
        <v>34150</v>
      </c>
      <c r="K447" s="34"/>
      <c r="L447" s="34"/>
      <c r="M447" s="34"/>
      <c r="N447" s="34"/>
      <c r="O447" s="34"/>
      <c r="P447" s="34"/>
      <c r="Q447" s="70">
        <f t="shared" si="37"/>
        <v>3172535</v>
      </c>
      <c r="R447" s="63">
        <v>0</v>
      </c>
      <c r="S447" s="31">
        <v>34150</v>
      </c>
      <c r="T447" s="31">
        <f t="shared" si="38"/>
        <v>25612.5</v>
      </c>
    </row>
    <row r="448" spans="1:20" ht="47.25">
      <c r="A448" s="10">
        <f t="shared" si="41"/>
        <v>237</v>
      </c>
      <c r="B448" s="29" t="s">
        <v>496</v>
      </c>
      <c r="C448" s="31">
        <v>273.1</v>
      </c>
      <c r="D448" s="69">
        <v>0</v>
      </c>
      <c r="E448" s="52"/>
      <c r="F448" s="52"/>
      <c r="G448" s="53"/>
      <c r="H448" s="31">
        <v>273.1</v>
      </c>
      <c r="I448" s="63">
        <v>9326365</v>
      </c>
      <c r="J448" s="31">
        <f t="shared" si="36"/>
        <v>34150</v>
      </c>
      <c r="K448" s="52"/>
      <c r="L448" s="52"/>
      <c r="M448" s="53"/>
      <c r="N448" s="52"/>
      <c r="O448" s="52"/>
      <c r="P448" s="53"/>
      <c r="Q448" s="70">
        <f t="shared" si="37"/>
        <v>9326365</v>
      </c>
      <c r="R448" s="66">
        <v>0</v>
      </c>
      <c r="S448" s="31">
        <v>34150</v>
      </c>
      <c r="T448" s="31">
        <f t="shared" si="38"/>
        <v>25612.5</v>
      </c>
    </row>
    <row r="449" spans="1:20" ht="31.5">
      <c r="A449" s="10">
        <f t="shared" si="41"/>
        <v>238</v>
      </c>
      <c r="B449" s="29" t="s">
        <v>497</v>
      </c>
      <c r="C449" s="31">
        <v>453.7</v>
      </c>
      <c r="D449" s="69">
        <v>396.3</v>
      </c>
      <c r="E449" s="31"/>
      <c r="F449" s="31"/>
      <c r="G449" s="34"/>
      <c r="H449" s="31">
        <v>453.7</v>
      </c>
      <c r="I449" s="63">
        <v>15493855</v>
      </c>
      <c r="J449" s="31">
        <f t="shared" si="36"/>
        <v>34150</v>
      </c>
      <c r="K449" s="31"/>
      <c r="L449" s="31"/>
      <c r="M449" s="34"/>
      <c r="N449" s="31"/>
      <c r="O449" s="31"/>
      <c r="P449" s="34"/>
      <c r="Q449" s="70">
        <f t="shared" si="37"/>
        <v>15493855</v>
      </c>
      <c r="R449" s="63">
        <v>0</v>
      </c>
      <c r="S449" s="31">
        <v>34150</v>
      </c>
      <c r="T449" s="31">
        <f t="shared" si="38"/>
        <v>25612.5</v>
      </c>
    </row>
    <row r="450" spans="1:20" ht="31.5">
      <c r="A450" s="10">
        <f t="shared" si="41"/>
        <v>239</v>
      </c>
      <c r="B450" s="29" t="s">
        <v>498</v>
      </c>
      <c r="C450" s="31">
        <v>150.8</v>
      </c>
      <c r="D450" s="69">
        <v>0</v>
      </c>
      <c r="E450" s="31"/>
      <c r="F450" s="31"/>
      <c r="G450" s="34"/>
      <c r="H450" s="31">
        <v>150.8</v>
      </c>
      <c r="I450" s="63">
        <v>5149820</v>
      </c>
      <c r="J450" s="31">
        <f t="shared" si="36"/>
        <v>34150</v>
      </c>
      <c r="K450" s="31"/>
      <c r="L450" s="31"/>
      <c r="M450" s="34"/>
      <c r="N450" s="31"/>
      <c r="O450" s="31"/>
      <c r="P450" s="34"/>
      <c r="Q450" s="70">
        <f t="shared" si="37"/>
        <v>5149820</v>
      </c>
      <c r="R450" s="63">
        <v>0</v>
      </c>
      <c r="S450" s="31">
        <v>34150</v>
      </c>
      <c r="T450" s="31">
        <f t="shared" si="38"/>
        <v>25612.5</v>
      </c>
    </row>
    <row r="451" spans="1:20" ht="15.75">
      <c r="A451" s="179" t="s">
        <v>499</v>
      </c>
      <c r="B451" s="179"/>
      <c r="C451" s="31">
        <v>118.8</v>
      </c>
      <c r="D451" s="69">
        <v>0</v>
      </c>
      <c r="E451" s="31"/>
      <c r="F451" s="31"/>
      <c r="G451" s="34"/>
      <c r="H451" s="31">
        <v>118.8</v>
      </c>
      <c r="I451" s="63">
        <v>4057020</v>
      </c>
      <c r="J451" s="31">
        <f t="shared" si="36"/>
        <v>34150</v>
      </c>
      <c r="K451" s="31"/>
      <c r="L451" s="31"/>
      <c r="M451" s="34"/>
      <c r="N451" s="31"/>
      <c r="O451" s="31"/>
      <c r="P451" s="34"/>
      <c r="Q451" s="70">
        <f t="shared" si="37"/>
        <v>4057020</v>
      </c>
      <c r="R451" s="63">
        <v>0</v>
      </c>
      <c r="S451" s="31">
        <v>34150</v>
      </c>
      <c r="T451" s="31">
        <f t="shared" si="38"/>
        <v>25612.5</v>
      </c>
    </row>
    <row r="452" spans="1:20" ht="47.25">
      <c r="A452" s="10">
        <v>240</v>
      </c>
      <c r="B452" s="7" t="s">
        <v>500</v>
      </c>
      <c r="C452" s="35">
        <v>118.8</v>
      </c>
      <c r="D452" s="69">
        <v>0</v>
      </c>
      <c r="E452" s="31"/>
      <c r="F452" s="31"/>
      <c r="G452" s="34"/>
      <c r="H452" s="35">
        <v>118.8</v>
      </c>
      <c r="I452" s="63">
        <v>4057020</v>
      </c>
      <c r="J452" s="31">
        <f t="shared" si="36"/>
        <v>34150</v>
      </c>
      <c r="K452" s="31"/>
      <c r="L452" s="31"/>
      <c r="M452" s="34"/>
      <c r="N452" s="31"/>
      <c r="O452" s="31"/>
      <c r="P452" s="34"/>
      <c r="Q452" s="70">
        <f t="shared" si="37"/>
        <v>4057020</v>
      </c>
      <c r="R452" s="63">
        <v>0</v>
      </c>
      <c r="S452" s="31">
        <v>34150</v>
      </c>
      <c r="T452" s="31">
        <f t="shared" si="38"/>
        <v>25612.5</v>
      </c>
    </row>
    <row r="453" spans="1:20" ht="15.75">
      <c r="A453" s="179" t="s">
        <v>506</v>
      </c>
      <c r="B453" s="179"/>
      <c r="C453" s="59">
        <v>745.5</v>
      </c>
      <c r="D453" s="69">
        <v>176.3</v>
      </c>
      <c r="E453" s="55"/>
      <c r="F453" s="55"/>
      <c r="G453" s="55"/>
      <c r="H453" s="59">
        <v>745.5</v>
      </c>
      <c r="I453" s="65">
        <v>25458825</v>
      </c>
      <c r="J453" s="31">
        <f t="shared" si="36"/>
        <v>34150</v>
      </c>
      <c r="K453" s="55"/>
      <c r="L453" s="55"/>
      <c r="M453" s="55"/>
      <c r="N453" s="55"/>
      <c r="O453" s="55"/>
      <c r="P453" s="55"/>
      <c r="Q453" s="70">
        <f t="shared" si="37"/>
        <v>25458825</v>
      </c>
      <c r="R453" s="66">
        <v>0</v>
      </c>
      <c r="S453" s="31">
        <v>34150</v>
      </c>
      <c r="T453" s="31">
        <f t="shared" si="38"/>
        <v>25612.5</v>
      </c>
    </row>
    <row r="454" spans="1:20" ht="47.25">
      <c r="A454" s="10">
        <v>241</v>
      </c>
      <c r="B454" s="57" t="s">
        <v>501</v>
      </c>
      <c r="C454" s="31">
        <v>72.4</v>
      </c>
      <c r="D454" s="69">
        <v>45.4</v>
      </c>
      <c r="E454" s="34"/>
      <c r="F454" s="34"/>
      <c r="G454" s="34"/>
      <c r="H454" s="31">
        <v>72.4</v>
      </c>
      <c r="I454" s="65">
        <v>2472460</v>
      </c>
      <c r="J454" s="31">
        <f t="shared" si="36"/>
        <v>34150</v>
      </c>
      <c r="K454" s="34"/>
      <c r="L454" s="34"/>
      <c r="M454" s="34"/>
      <c r="N454" s="34"/>
      <c r="O454" s="34"/>
      <c r="P454" s="34"/>
      <c r="Q454" s="70">
        <f t="shared" si="37"/>
        <v>2472460</v>
      </c>
      <c r="R454" s="63">
        <v>0</v>
      </c>
      <c r="S454" s="31">
        <v>34150</v>
      </c>
      <c r="T454" s="31">
        <f t="shared" si="38"/>
        <v>25612.5</v>
      </c>
    </row>
    <row r="455" spans="1:20" ht="47.25">
      <c r="A455" s="10">
        <f>A454+1</f>
        <v>242</v>
      </c>
      <c r="B455" s="57" t="s">
        <v>502</v>
      </c>
      <c r="C455" s="31">
        <v>53.9</v>
      </c>
      <c r="D455" s="69">
        <v>53.9</v>
      </c>
      <c r="E455" s="34"/>
      <c r="F455" s="34"/>
      <c r="G455" s="34"/>
      <c r="H455" s="31">
        <v>53.9</v>
      </c>
      <c r="I455" s="65">
        <v>1840685</v>
      </c>
      <c r="J455" s="31">
        <f t="shared" si="36"/>
        <v>34150</v>
      </c>
      <c r="K455" s="34"/>
      <c r="L455" s="34"/>
      <c r="M455" s="34"/>
      <c r="N455" s="34"/>
      <c r="O455" s="34"/>
      <c r="P455" s="34"/>
      <c r="Q455" s="70">
        <f t="shared" si="37"/>
        <v>1840685</v>
      </c>
      <c r="R455" s="63">
        <v>0</v>
      </c>
      <c r="S455" s="31">
        <v>34150</v>
      </c>
      <c r="T455" s="31">
        <f t="shared" si="38"/>
        <v>25612.5</v>
      </c>
    </row>
    <row r="456" spans="1:20" ht="47.25">
      <c r="A456" s="10">
        <f>A455+1</f>
        <v>243</v>
      </c>
      <c r="B456" s="57" t="s">
        <v>503</v>
      </c>
      <c r="C456" s="31">
        <v>77</v>
      </c>
      <c r="D456" s="69">
        <v>77</v>
      </c>
      <c r="E456" s="34"/>
      <c r="F456" s="34"/>
      <c r="G456" s="34"/>
      <c r="H456" s="31">
        <v>77</v>
      </c>
      <c r="I456" s="65">
        <v>2629550</v>
      </c>
      <c r="J456" s="31">
        <f t="shared" si="36"/>
        <v>34150</v>
      </c>
      <c r="K456" s="34"/>
      <c r="L456" s="34"/>
      <c r="M456" s="34"/>
      <c r="N456" s="34"/>
      <c r="O456" s="34"/>
      <c r="P456" s="34"/>
      <c r="Q456" s="70">
        <f t="shared" si="37"/>
        <v>2629550</v>
      </c>
      <c r="R456" s="63">
        <v>0</v>
      </c>
      <c r="S456" s="31">
        <v>34150</v>
      </c>
      <c r="T456" s="31">
        <f t="shared" si="38"/>
        <v>25612.5</v>
      </c>
    </row>
    <row r="457" spans="1:20" ht="47.25">
      <c r="A457" s="10">
        <f>A456+1</f>
        <v>244</v>
      </c>
      <c r="B457" s="57" t="s">
        <v>504</v>
      </c>
      <c r="C457" s="31">
        <v>542.2</v>
      </c>
      <c r="D457" s="69">
        <v>0</v>
      </c>
      <c r="E457" s="34"/>
      <c r="F457" s="34"/>
      <c r="G457" s="34"/>
      <c r="H457" s="31">
        <v>542.2</v>
      </c>
      <c r="I457" s="65">
        <v>18516130</v>
      </c>
      <c r="J457" s="31">
        <f aca="true" t="shared" si="42" ref="J457:J520">I457/H457</f>
        <v>34150</v>
      </c>
      <c r="K457" s="34"/>
      <c r="L457" s="34"/>
      <c r="M457" s="34"/>
      <c r="N457" s="34"/>
      <c r="O457" s="34"/>
      <c r="P457" s="34"/>
      <c r="Q457" s="70">
        <f aca="true" t="shared" si="43" ref="Q457:Q520">I457</f>
        <v>18516130</v>
      </c>
      <c r="R457" s="63">
        <v>0</v>
      </c>
      <c r="S457" s="31">
        <v>34150</v>
      </c>
      <c r="T457" s="31">
        <f t="shared" si="38"/>
        <v>25612.5</v>
      </c>
    </row>
    <row r="458" spans="1:20" ht="15.75">
      <c r="A458" s="179" t="s">
        <v>505</v>
      </c>
      <c r="B458" s="179"/>
      <c r="C458" s="35">
        <v>588.4</v>
      </c>
      <c r="D458" s="69">
        <v>0</v>
      </c>
      <c r="E458" s="34"/>
      <c r="F458" s="34"/>
      <c r="G458" s="34"/>
      <c r="H458" s="35">
        <v>588.4</v>
      </c>
      <c r="I458" s="64">
        <v>20093860</v>
      </c>
      <c r="J458" s="31">
        <f t="shared" si="42"/>
        <v>34150</v>
      </c>
      <c r="K458" s="34"/>
      <c r="L458" s="34"/>
      <c r="M458" s="34"/>
      <c r="N458" s="34"/>
      <c r="O458" s="34"/>
      <c r="P458" s="34"/>
      <c r="Q458" s="70">
        <f t="shared" si="43"/>
        <v>20093860</v>
      </c>
      <c r="R458" s="63">
        <v>758130</v>
      </c>
      <c r="S458" s="31">
        <v>34150</v>
      </c>
      <c r="T458" s="31">
        <f aca="true" t="shared" si="44" ref="T458:T521">S458/4*3</f>
        <v>25612.5</v>
      </c>
    </row>
    <row r="459" spans="1:20" ht="47.25">
      <c r="A459" s="10">
        <v>245</v>
      </c>
      <c r="B459" s="94" t="s">
        <v>507</v>
      </c>
      <c r="C459" s="35">
        <v>77.08</v>
      </c>
      <c r="D459" s="69">
        <v>0</v>
      </c>
      <c r="E459" s="34"/>
      <c r="F459" s="34"/>
      <c r="G459" s="34"/>
      <c r="H459" s="35">
        <v>77.08</v>
      </c>
      <c r="I459" s="64">
        <v>2632282</v>
      </c>
      <c r="J459" s="31">
        <f t="shared" si="42"/>
        <v>34150</v>
      </c>
      <c r="K459" s="34"/>
      <c r="L459" s="34"/>
      <c r="M459" s="34"/>
      <c r="N459" s="34"/>
      <c r="O459" s="34"/>
      <c r="P459" s="34"/>
      <c r="Q459" s="70">
        <f t="shared" si="43"/>
        <v>2632282</v>
      </c>
      <c r="R459" s="63">
        <v>113378</v>
      </c>
      <c r="S459" s="31">
        <v>34150</v>
      </c>
      <c r="T459" s="31">
        <f t="shared" si="44"/>
        <v>25612.5</v>
      </c>
    </row>
    <row r="460" spans="1:20" ht="47.25">
      <c r="A460" s="10">
        <f>A459+1</f>
        <v>246</v>
      </c>
      <c r="B460" s="94" t="s">
        <v>508</v>
      </c>
      <c r="C460" s="35">
        <v>77.08</v>
      </c>
      <c r="D460" s="69">
        <v>0</v>
      </c>
      <c r="E460" s="34"/>
      <c r="F460" s="34"/>
      <c r="G460" s="34"/>
      <c r="H460" s="35">
        <v>77.08</v>
      </c>
      <c r="I460" s="64">
        <v>2632282</v>
      </c>
      <c r="J460" s="31">
        <f t="shared" si="42"/>
        <v>34150</v>
      </c>
      <c r="K460" s="32"/>
      <c r="L460" s="34"/>
      <c r="M460" s="34"/>
      <c r="N460" s="34"/>
      <c r="O460" s="32"/>
      <c r="P460" s="32"/>
      <c r="Q460" s="70">
        <f t="shared" si="43"/>
        <v>2632282</v>
      </c>
      <c r="R460" s="63">
        <v>113378</v>
      </c>
      <c r="S460" s="31">
        <v>34150</v>
      </c>
      <c r="T460" s="31">
        <f t="shared" si="44"/>
        <v>25612.5</v>
      </c>
    </row>
    <row r="461" spans="1:20" ht="47.25">
      <c r="A461" s="10">
        <f>A460+1</f>
        <v>247</v>
      </c>
      <c r="B461" s="94" t="s">
        <v>509</v>
      </c>
      <c r="C461" s="35">
        <v>77.08</v>
      </c>
      <c r="D461" s="69">
        <v>0</v>
      </c>
      <c r="E461" s="34"/>
      <c r="F461" s="34"/>
      <c r="G461" s="34"/>
      <c r="H461" s="35">
        <v>77.08</v>
      </c>
      <c r="I461" s="64">
        <v>2632282</v>
      </c>
      <c r="J461" s="31">
        <f t="shared" si="42"/>
        <v>34150</v>
      </c>
      <c r="K461" s="34"/>
      <c r="L461" s="34"/>
      <c r="M461" s="34"/>
      <c r="N461" s="34"/>
      <c r="O461" s="34"/>
      <c r="P461" s="34"/>
      <c r="Q461" s="70">
        <f t="shared" si="43"/>
        <v>2632282</v>
      </c>
      <c r="R461" s="63">
        <v>113378</v>
      </c>
      <c r="S461" s="31">
        <v>34150</v>
      </c>
      <c r="T461" s="31">
        <f t="shared" si="44"/>
        <v>25612.5</v>
      </c>
    </row>
    <row r="462" spans="1:20" ht="47.25">
      <c r="A462" s="10">
        <f>A461+1</f>
        <v>248</v>
      </c>
      <c r="B462" s="94" t="s">
        <v>510</v>
      </c>
      <c r="C462" s="35">
        <v>77.08</v>
      </c>
      <c r="D462" s="69">
        <v>0</v>
      </c>
      <c r="E462" s="34"/>
      <c r="F462" s="34"/>
      <c r="G462" s="34"/>
      <c r="H462" s="35">
        <v>77.08</v>
      </c>
      <c r="I462" s="64">
        <v>2632282</v>
      </c>
      <c r="J462" s="31">
        <f t="shared" si="42"/>
        <v>34150</v>
      </c>
      <c r="K462" s="34"/>
      <c r="L462" s="34"/>
      <c r="M462" s="34"/>
      <c r="N462" s="34"/>
      <c r="O462" s="34"/>
      <c r="P462" s="34"/>
      <c r="Q462" s="70">
        <f t="shared" si="43"/>
        <v>2632282</v>
      </c>
      <c r="R462" s="63">
        <v>113378</v>
      </c>
      <c r="S462" s="31">
        <v>34150</v>
      </c>
      <c r="T462" s="31">
        <f t="shared" si="44"/>
        <v>25612.5</v>
      </c>
    </row>
    <row r="463" spans="1:20" ht="47.25">
      <c r="A463" s="10">
        <f>A462+1</f>
        <v>249</v>
      </c>
      <c r="B463" s="94" t="s">
        <v>511</v>
      </c>
      <c r="C463" s="35">
        <v>77.08</v>
      </c>
      <c r="D463" s="69">
        <v>0</v>
      </c>
      <c r="E463" s="34"/>
      <c r="F463" s="34"/>
      <c r="G463" s="34"/>
      <c r="H463" s="35">
        <v>77.08</v>
      </c>
      <c r="I463" s="64">
        <v>2632282</v>
      </c>
      <c r="J463" s="31">
        <f t="shared" si="42"/>
        <v>34150</v>
      </c>
      <c r="K463" s="34"/>
      <c r="L463" s="34"/>
      <c r="M463" s="34"/>
      <c r="N463" s="34"/>
      <c r="O463" s="34"/>
      <c r="P463" s="34"/>
      <c r="Q463" s="70">
        <f t="shared" si="43"/>
        <v>2632282</v>
      </c>
      <c r="R463" s="63">
        <v>113378</v>
      </c>
      <c r="S463" s="31">
        <v>34150</v>
      </c>
      <c r="T463" s="31">
        <f t="shared" si="44"/>
        <v>25612.5</v>
      </c>
    </row>
    <row r="464" spans="1:20" ht="47.25">
      <c r="A464" s="10">
        <f>A463+1</f>
        <v>250</v>
      </c>
      <c r="B464" s="94" t="s">
        <v>512</v>
      </c>
      <c r="C464" s="35">
        <v>203</v>
      </c>
      <c r="D464" s="69">
        <v>0</v>
      </c>
      <c r="E464" s="34"/>
      <c r="F464" s="34"/>
      <c r="G464" s="34"/>
      <c r="H464" s="35">
        <v>203</v>
      </c>
      <c r="I464" s="64">
        <v>6932450</v>
      </c>
      <c r="J464" s="31">
        <f t="shared" si="42"/>
        <v>34150</v>
      </c>
      <c r="K464" s="34"/>
      <c r="L464" s="34"/>
      <c r="M464" s="34"/>
      <c r="N464" s="34"/>
      <c r="O464" s="34"/>
      <c r="P464" s="34"/>
      <c r="Q464" s="70">
        <f t="shared" si="43"/>
        <v>6932450</v>
      </c>
      <c r="R464" s="63">
        <v>191240</v>
      </c>
      <c r="S464" s="31">
        <v>34150</v>
      </c>
      <c r="T464" s="31">
        <f t="shared" si="44"/>
        <v>25612.5</v>
      </c>
    </row>
    <row r="465" spans="1:20" ht="15.75">
      <c r="A465" s="179" t="s">
        <v>513</v>
      </c>
      <c r="B465" s="179"/>
      <c r="C465" s="34">
        <v>1675.6</v>
      </c>
      <c r="D465" s="69">
        <v>1396.4</v>
      </c>
      <c r="E465" s="34"/>
      <c r="F465" s="34"/>
      <c r="G465" s="34"/>
      <c r="H465" s="34">
        <v>1675.6</v>
      </c>
      <c r="I465" s="34">
        <v>57221740</v>
      </c>
      <c r="J465" s="31">
        <f t="shared" si="42"/>
        <v>34150</v>
      </c>
      <c r="K465" s="34"/>
      <c r="L465" s="34"/>
      <c r="M465" s="34"/>
      <c r="N465" s="34"/>
      <c r="O465" s="34"/>
      <c r="P465" s="34"/>
      <c r="Q465" s="70">
        <f t="shared" si="43"/>
        <v>57221740</v>
      </c>
      <c r="R465" s="63">
        <v>0</v>
      </c>
      <c r="S465" s="31">
        <v>34150</v>
      </c>
      <c r="T465" s="31">
        <f t="shared" si="44"/>
        <v>25612.5</v>
      </c>
    </row>
    <row r="466" spans="1:20" ht="47.25">
      <c r="A466" s="10">
        <v>251</v>
      </c>
      <c r="B466" s="94" t="s">
        <v>514</v>
      </c>
      <c r="C466" s="31">
        <v>82.6</v>
      </c>
      <c r="D466" s="69">
        <v>41.3</v>
      </c>
      <c r="E466" s="34"/>
      <c r="F466" s="34"/>
      <c r="G466" s="34"/>
      <c r="H466" s="31">
        <v>82.6</v>
      </c>
      <c r="I466" s="63">
        <v>2820790</v>
      </c>
      <c r="J466" s="31">
        <f t="shared" si="42"/>
        <v>34150</v>
      </c>
      <c r="K466" s="32"/>
      <c r="L466" s="34"/>
      <c r="M466" s="34"/>
      <c r="N466" s="34"/>
      <c r="O466" s="32"/>
      <c r="P466" s="32"/>
      <c r="Q466" s="70">
        <f t="shared" si="43"/>
        <v>2820790</v>
      </c>
      <c r="R466" s="63">
        <v>0</v>
      </c>
      <c r="S466" s="31">
        <v>34150</v>
      </c>
      <c r="T466" s="31">
        <f t="shared" si="44"/>
        <v>25612.5</v>
      </c>
    </row>
    <row r="467" spans="1:20" ht="47.25">
      <c r="A467" s="10">
        <f>A466+1</f>
        <v>252</v>
      </c>
      <c r="B467" s="94" t="s">
        <v>515</v>
      </c>
      <c r="C467" s="31">
        <v>254.4</v>
      </c>
      <c r="D467" s="69">
        <v>254.4</v>
      </c>
      <c r="E467" s="34"/>
      <c r="F467" s="34"/>
      <c r="G467" s="34"/>
      <c r="H467" s="31">
        <v>254.4</v>
      </c>
      <c r="I467" s="63">
        <v>8687760</v>
      </c>
      <c r="J467" s="31">
        <f t="shared" si="42"/>
        <v>34150</v>
      </c>
      <c r="K467" s="34"/>
      <c r="L467" s="34"/>
      <c r="M467" s="34"/>
      <c r="N467" s="34"/>
      <c r="O467" s="34"/>
      <c r="P467" s="34"/>
      <c r="Q467" s="70">
        <f t="shared" si="43"/>
        <v>8687760</v>
      </c>
      <c r="R467" s="63">
        <v>0</v>
      </c>
      <c r="S467" s="31">
        <v>34150</v>
      </c>
      <c r="T467" s="31">
        <f t="shared" si="44"/>
        <v>25612.5</v>
      </c>
    </row>
    <row r="468" spans="1:20" ht="47.25">
      <c r="A468" s="10">
        <f>A467+1</f>
        <v>253</v>
      </c>
      <c r="B468" s="94" t="s">
        <v>516</v>
      </c>
      <c r="C468" s="31">
        <v>357.7</v>
      </c>
      <c r="D468" s="69">
        <v>260</v>
      </c>
      <c r="E468" s="34"/>
      <c r="F468" s="34"/>
      <c r="G468" s="34"/>
      <c r="H468" s="31">
        <v>357.7</v>
      </c>
      <c r="I468" s="63">
        <v>12215455</v>
      </c>
      <c r="J468" s="31">
        <f t="shared" si="42"/>
        <v>34150</v>
      </c>
      <c r="K468" s="34"/>
      <c r="L468" s="34"/>
      <c r="M468" s="34"/>
      <c r="N468" s="34"/>
      <c r="O468" s="34"/>
      <c r="P468" s="34"/>
      <c r="Q468" s="70">
        <f t="shared" si="43"/>
        <v>12215455</v>
      </c>
      <c r="R468" s="63">
        <v>0</v>
      </c>
      <c r="S468" s="31">
        <v>34150</v>
      </c>
      <c r="T468" s="31">
        <f t="shared" si="44"/>
        <v>25612.5</v>
      </c>
    </row>
    <row r="469" spans="1:20" ht="47.25">
      <c r="A469" s="10">
        <f>A468+1</f>
        <v>254</v>
      </c>
      <c r="B469" s="94" t="s">
        <v>517</v>
      </c>
      <c r="C469" s="31">
        <v>153.8</v>
      </c>
      <c r="D469" s="69">
        <v>153.8</v>
      </c>
      <c r="E469" s="34"/>
      <c r="F469" s="34"/>
      <c r="G469" s="34"/>
      <c r="H469" s="31">
        <v>153.8</v>
      </c>
      <c r="I469" s="63">
        <v>5252270</v>
      </c>
      <c r="J469" s="31">
        <f t="shared" si="42"/>
        <v>34150</v>
      </c>
      <c r="K469" s="34"/>
      <c r="L469" s="34"/>
      <c r="M469" s="34"/>
      <c r="N469" s="34"/>
      <c r="O469" s="34"/>
      <c r="P469" s="34"/>
      <c r="Q469" s="70">
        <f t="shared" si="43"/>
        <v>5252270</v>
      </c>
      <c r="R469" s="63">
        <v>0</v>
      </c>
      <c r="S469" s="31">
        <v>34150</v>
      </c>
      <c r="T469" s="31">
        <f t="shared" si="44"/>
        <v>25612.5</v>
      </c>
    </row>
    <row r="470" spans="1:20" ht="47.25">
      <c r="A470" s="10">
        <f>A469+1</f>
        <v>255</v>
      </c>
      <c r="B470" s="94" t="s">
        <v>518</v>
      </c>
      <c r="C470" s="31">
        <v>827.1</v>
      </c>
      <c r="D470" s="69">
        <v>686.9</v>
      </c>
      <c r="E470" s="34"/>
      <c r="F470" s="34"/>
      <c r="G470" s="34"/>
      <c r="H470" s="31">
        <v>827.1</v>
      </c>
      <c r="I470" s="63">
        <v>28245465</v>
      </c>
      <c r="J470" s="31">
        <f t="shared" si="42"/>
        <v>34150</v>
      </c>
      <c r="K470" s="32"/>
      <c r="L470" s="34"/>
      <c r="M470" s="34"/>
      <c r="N470" s="34"/>
      <c r="O470" s="32"/>
      <c r="P470" s="32"/>
      <c r="Q470" s="70">
        <f t="shared" si="43"/>
        <v>28245465</v>
      </c>
      <c r="R470" s="63">
        <v>0</v>
      </c>
      <c r="S470" s="31">
        <v>34150</v>
      </c>
      <c r="T470" s="31">
        <f t="shared" si="44"/>
        <v>25612.5</v>
      </c>
    </row>
    <row r="471" spans="1:20" ht="15.75">
      <c r="A471" s="179" t="s">
        <v>519</v>
      </c>
      <c r="B471" s="179"/>
      <c r="C471" s="31">
        <v>388</v>
      </c>
      <c r="D471" s="69">
        <v>134.8</v>
      </c>
      <c r="E471" s="113"/>
      <c r="F471" s="113"/>
      <c r="G471" s="113"/>
      <c r="H471" s="31">
        <v>388</v>
      </c>
      <c r="I471" s="63">
        <v>13250200</v>
      </c>
      <c r="J471" s="31">
        <f t="shared" si="42"/>
        <v>34150</v>
      </c>
      <c r="K471" s="34"/>
      <c r="L471" s="34"/>
      <c r="M471" s="34"/>
      <c r="N471" s="34"/>
      <c r="O471" s="34"/>
      <c r="P471" s="34"/>
      <c r="Q471" s="70">
        <f t="shared" si="43"/>
        <v>13250200</v>
      </c>
      <c r="R471" s="63">
        <v>0</v>
      </c>
      <c r="S471" s="31">
        <v>34150</v>
      </c>
      <c r="T471" s="31">
        <f t="shared" si="44"/>
        <v>25612.5</v>
      </c>
    </row>
    <row r="472" spans="1:20" ht="31.5">
      <c r="A472" s="10">
        <v>256</v>
      </c>
      <c r="B472" s="57" t="s">
        <v>641</v>
      </c>
      <c r="C472" s="31">
        <v>160</v>
      </c>
      <c r="D472" s="69">
        <v>77.4</v>
      </c>
      <c r="E472" s="113"/>
      <c r="F472" s="113"/>
      <c r="G472" s="113"/>
      <c r="H472" s="31">
        <v>160</v>
      </c>
      <c r="I472" s="63">
        <v>5464000</v>
      </c>
      <c r="J472" s="31">
        <f t="shared" si="42"/>
        <v>34150</v>
      </c>
      <c r="K472" s="34"/>
      <c r="L472" s="34"/>
      <c r="M472" s="34"/>
      <c r="N472" s="34"/>
      <c r="O472" s="34"/>
      <c r="P472" s="34"/>
      <c r="Q472" s="70">
        <f t="shared" si="43"/>
        <v>5464000</v>
      </c>
      <c r="R472" s="63">
        <v>0</v>
      </c>
      <c r="S472" s="31">
        <v>34150</v>
      </c>
      <c r="T472" s="31">
        <f t="shared" si="44"/>
        <v>25612.5</v>
      </c>
    </row>
    <row r="473" spans="1:20" ht="31.5">
      <c r="A473" s="10">
        <f>A472+1</f>
        <v>257</v>
      </c>
      <c r="B473" s="57" t="s">
        <v>642</v>
      </c>
      <c r="C473" s="31">
        <v>110</v>
      </c>
      <c r="D473" s="69">
        <v>57.4</v>
      </c>
      <c r="E473" s="113"/>
      <c r="F473" s="113"/>
      <c r="G473" s="113"/>
      <c r="H473" s="31">
        <v>110</v>
      </c>
      <c r="I473" s="63">
        <v>3756500</v>
      </c>
      <c r="J473" s="31">
        <f t="shared" si="42"/>
        <v>34150</v>
      </c>
      <c r="K473" s="34"/>
      <c r="L473" s="34"/>
      <c r="M473" s="34"/>
      <c r="N473" s="34"/>
      <c r="O473" s="34"/>
      <c r="P473" s="34"/>
      <c r="Q473" s="70">
        <f t="shared" si="43"/>
        <v>3756500</v>
      </c>
      <c r="R473" s="63">
        <v>0</v>
      </c>
      <c r="S473" s="31">
        <v>34150</v>
      </c>
      <c r="T473" s="31">
        <f t="shared" si="44"/>
        <v>25612.5</v>
      </c>
    </row>
    <row r="474" spans="1:20" ht="31.5">
      <c r="A474" s="10">
        <f>A473+1</f>
        <v>258</v>
      </c>
      <c r="B474" s="57" t="s">
        <v>643</v>
      </c>
      <c r="C474" s="31">
        <v>118</v>
      </c>
      <c r="D474" s="69">
        <v>0</v>
      </c>
      <c r="E474" s="113"/>
      <c r="F474" s="113"/>
      <c r="G474" s="113"/>
      <c r="H474" s="31">
        <v>118</v>
      </c>
      <c r="I474" s="63">
        <v>4029700</v>
      </c>
      <c r="J474" s="31">
        <f t="shared" si="42"/>
        <v>34150</v>
      </c>
      <c r="K474" s="34"/>
      <c r="L474" s="34"/>
      <c r="M474" s="34"/>
      <c r="N474" s="34"/>
      <c r="O474" s="34"/>
      <c r="P474" s="34"/>
      <c r="Q474" s="70">
        <f t="shared" si="43"/>
        <v>4029700</v>
      </c>
      <c r="R474" s="63">
        <v>0</v>
      </c>
      <c r="S474" s="31">
        <v>34150</v>
      </c>
      <c r="T474" s="31">
        <f t="shared" si="44"/>
        <v>25612.5</v>
      </c>
    </row>
    <row r="475" spans="1:20" ht="15.75">
      <c r="A475" s="180" t="s">
        <v>572</v>
      </c>
      <c r="B475" s="180"/>
      <c r="C475" s="31">
        <v>16528.01</v>
      </c>
      <c r="D475" s="69">
        <v>9016.05</v>
      </c>
      <c r="E475" s="61"/>
      <c r="F475" s="61"/>
      <c r="G475" s="61"/>
      <c r="H475" s="31">
        <v>16528.01</v>
      </c>
      <c r="I475" s="63">
        <v>564431541</v>
      </c>
      <c r="J475" s="31">
        <f t="shared" si="42"/>
        <v>34149.99996974833</v>
      </c>
      <c r="K475" s="34"/>
      <c r="L475" s="34"/>
      <c r="M475" s="34"/>
      <c r="N475" s="34"/>
      <c r="O475" s="34"/>
      <c r="P475" s="34"/>
      <c r="Q475" s="70">
        <f t="shared" si="43"/>
        <v>564431541</v>
      </c>
      <c r="R475" s="63">
        <v>1245109</v>
      </c>
      <c r="S475" s="31">
        <v>34150</v>
      </c>
      <c r="T475" s="31">
        <f t="shared" si="44"/>
        <v>25612.5</v>
      </c>
    </row>
    <row r="476" spans="1:20" ht="15.75">
      <c r="A476" s="188" t="s">
        <v>614</v>
      </c>
      <c r="B476" s="189"/>
      <c r="C476" s="68">
        <v>1483.41</v>
      </c>
      <c r="D476" s="69">
        <v>321.02</v>
      </c>
      <c r="E476" s="61"/>
      <c r="F476" s="61"/>
      <c r="G476" s="61"/>
      <c r="H476" s="68">
        <v>1483.41</v>
      </c>
      <c r="I476" s="70">
        <v>50658451.5</v>
      </c>
      <c r="J476" s="31">
        <f t="shared" si="42"/>
        <v>34150</v>
      </c>
      <c r="K476" s="34"/>
      <c r="L476" s="34"/>
      <c r="M476" s="34"/>
      <c r="N476" s="34"/>
      <c r="O476" s="34"/>
      <c r="P476" s="34"/>
      <c r="Q476" s="70">
        <f t="shared" si="43"/>
        <v>50658451.5</v>
      </c>
      <c r="R476" s="63">
        <v>0</v>
      </c>
      <c r="S476" s="31">
        <v>34150</v>
      </c>
      <c r="T476" s="31">
        <f t="shared" si="44"/>
        <v>25612.5</v>
      </c>
    </row>
    <row r="477" spans="1:20" ht="47.25">
      <c r="A477" s="19">
        <v>1</v>
      </c>
      <c r="B477" s="18" t="s">
        <v>520</v>
      </c>
      <c r="C477" s="59">
        <v>600.45</v>
      </c>
      <c r="D477" s="69">
        <v>36.17</v>
      </c>
      <c r="E477" s="61"/>
      <c r="F477" s="61"/>
      <c r="G477" s="61"/>
      <c r="H477" s="59">
        <v>600.45</v>
      </c>
      <c r="I477" s="70">
        <v>20505367.5</v>
      </c>
      <c r="J477" s="31">
        <f t="shared" si="42"/>
        <v>34150</v>
      </c>
      <c r="K477" s="34"/>
      <c r="L477" s="34"/>
      <c r="M477" s="34"/>
      <c r="N477" s="34"/>
      <c r="O477" s="34"/>
      <c r="P477" s="34"/>
      <c r="Q477" s="70">
        <f t="shared" si="43"/>
        <v>20505367.5</v>
      </c>
      <c r="R477" s="63">
        <v>0</v>
      </c>
      <c r="S477" s="31">
        <v>34150</v>
      </c>
      <c r="T477" s="31">
        <f t="shared" si="44"/>
        <v>25612.5</v>
      </c>
    </row>
    <row r="478" spans="1:20" ht="47.25">
      <c r="A478" s="19">
        <f>A477+1</f>
        <v>2</v>
      </c>
      <c r="B478" s="18" t="s">
        <v>521</v>
      </c>
      <c r="C478" s="59">
        <v>117.1</v>
      </c>
      <c r="D478" s="69">
        <v>117.1</v>
      </c>
      <c r="E478" s="34"/>
      <c r="F478" s="34"/>
      <c r="G478" s="34"/>
      <c r="H478" s="59">
        <v>117.1</v>
      </c>
      <c r="I478" s="70">
        <v>3998965</v>
      </c>
      <c r="J478" s="31">
        <f t="shared" si="42"/>
        <v>34150</v>
      </c>
      <c r="K478" s="32"/>
      <c r="L478" s="34"/>
      <c r="M478" s="34"/>
      <c r="N478" s="34"/>
      <c r="O478" s="32"/>
      <c r="P478" s="32"/>
      <c r="Q478" s="70">
        <f t="shared" si="43"/>
        <v>3998965</v>
      </c>
      <c r="R478" s="63">
        <v>0</v>
      </c>
      <c r="S478" s="31">
        <v>34150</v>
      </c>
      <c r="T478" s="31">
        <f t="shared" si="44"/>
        <v>25612.5</v>
      </c>
    </row>
    <row r="479" spans="1:20" ht="47.25">
      <c r="A479" s="19">
        <f>A478+1</f>
        <v>3</v>
      </c>
      <c r="B479" s="21" t="s">
        <v>522</v>
      </c>
      <c r="C479" s="59">
        <v>63.9</v>
      </c>
      <c r="D479" s="69">
        <v>0</v>
      </c>
      <c r="E479" s="61"/>
      <c r="F479" s="61"/>
      <c r="G479" s="61"/>
      <c r="H479" s="59">
        <v>63.9</v>
      </c>
      <c r="I479" s="70">
        <v>2182185</v>
      </c>
      <c r="J479" s="31">
        <f t="shared" si="42"/>
        <v>34150</v>
      </c>
      <c r="K479" s="61"/>
      <c r="L479" s="61"/>
      <c r="M479" s="61"/>
      <c r="N479" s="61"/>
      <c r="O479" s="61"/>
      <c r="P479" s="61"/>
      <c r="Q479" s="70">
        <f t="shared" si="43"/>
        <v>2182185</v>
      </c>
      <c r="R479" s="67">
        <v>0</v>
      </c>
      <c r="S479" s="31">
        <v>34150</v>
      </c>
      <c r="T479" s="31">
        <f t="shared" si="44"/>
        <v>25612.5</v>
      </c>
    </row>
    <row r="480" spans="1:20" ht="47.25">
      <c r="A480" s="19">
        <f>A479+1</f>
        <v>4</v>
      </c>
      <c r="B480" s="18" t="s">
        <v>523</v>
      </c>
      <c r="C480" s="59">
        <v>396</v>
      </c>
      <c r="D480" s="69">
        <v>0</v>
      </c>
      <c r="E480" s="61"/>
      <c r="F480" s="61"/>
      <c r="G480" s="61"/>
      <c r="H480" s="59">
        <v>396</v>
      </c>
      <c r="I480" s="70">
        <v>13523400</v>
      </c>
      <c r="J480" s="31">
        <f t="shared" si="42"/>
        <v>34150</v>
      </c>
      <c r="K480" s="61"/>
      <c r="L480" s="61"/>
      <c r="M480" s="61"/>
      <c r="N480" s="61"/>
      <c r="O480" s="61"/>
      <c r="P480" s="61"/>
      <c r="Q480" s="70">
        <f t="shared" si="43"/>
        <v>13523400</v>
      </c>
      <c r="R480" s="67">
        <v>0</v>
      </c>
      <c r="S480" s="31">
        <v>34150</v>
      </c>
      <c r="T480" s="31">
        <f t="shared" si="44"/>
        <v>25612.5</v>
      </c>
    </row>
    <row r="481" spans="1:20" ht="47.25">
      <c r="A481" s="19">
        <f>A480+1</f>
        <v>5</v>
      </c>
      <c r="B481" s="21" t="s">
        <v>524</v>
      </c>
      <c r="C481" s="59">
        <v>217.21</v>
      </c>
      <c r="D481" s="69">
        <v>79</v>
      </c>
      <c r="E481" s="61"/>
      <c r="F481" s="61"/>
      <c r="G481" s="61"/>
      <c r="H481" s="59">
        <v>217.21</v>
      </c>
      <c r="I481" s="70">
        <v>7417721.5</v>
      </c>
      <c r="J481" s="31">
        <f t="shared" si="42"/>
        <v>34150</v>
      </c>
      <c r="K481" s="61"/>
      <c r="L481" s="61"/>
      <c r="M481" s="61"/>
      <c r="N481" s="61"/>
      <c r="O481" s="61"/>
      <c r="P481" s="61"/>
      <c r="Q481" s="70">
        <f t="shared" si="43"/>
        <v>7417721.5</v>
      </c>
      <c r="R481" s="67">
        <v>0</v>
      </c>
      <c r="S481" s="31">
        <v>34150</v>
      </c>
      <c r="T481" s="31">
        <f t="shared" si="44"/>
        <v>25612.5</v>
      </c>
    </row>
    <row r="482" spans="1:20" ht="47.25">
      <c r="A482" s="19">
        <f>A481+1</f>
        <v>6</v>
      </c>
      <c r="B482" s="21" t="s">
        <v>698</v>
      </c>
      <c r="C482" s="59">
        <v>88.75</v>
      </c>
      <c r="D482" s="69">
        <v>88.75</v>
      </c>
      <c r="E482" s="61"/>
      <c r="F482" s="61"/>
      <c r="G482" s="61"/>
      <c r="H482" s="59">
        <v>88.75</v>
      </c>
      <c r="I482" s="70">
        <v>3030812.5</v>
      </c>
      <c r="J482" s="31">
        <f t="shared" si="42"/>
        <v>34150</v>
      </c>
      <c r="K482" s="61"/>
      <c r="L482" s="61"/>
      <c r="M482" s="61"/>
      <c r="N482" s="61"/>
      <c r="O482" s="61"/>
      <c r="P482" s="61"/>
      <c r="Q482" s="70">
        <f t="shared" si="43"/>
        <v>3030812.5</v>
      </c>
      <c r="R482" s="67">
        <v>0</v>
      </c>
      <c r="S482" s="31">
        <v>34150</v>
      </c>
      <c r="T482" s="31">
        <f t="shared" si="44"/>
        <v>25612.5</v>
      </c>
    </row>
    <row r="483" spans="1:20" ht="15.75">
      <c r="A483" s="180" t="s">
        <v>615</v>
      </c>
      <c r="B483" s="180"/>
      <c r="C483" s="31">
        <v>2486</v>
      </c>
      <c r="D483" s="69">
        <v>1195.1</v>
      </c>
      <c r="E483" s="61"/>
      <c r="F483" s="61"/>
      <c r="G483" s="61"/>
      <c r="H483" s="31">
        <v>2486</v>
      </c>
      <c r="I483" s="63">
        <v>84896900</v>
      </c>
      <c r="J483" s="31">
        <f t="shared" si="42"/>
        <v>34150</v>
      </c>
      <c r="K483" s="61"/>
      <c r="L483" s="61"/>
      <c r="M483" s="61"/>
      <c r="N483" s="61"/>
      <c r="O483" s="61"/>
      <c r="P483" s="61"/>
      <c r="Q483" s="70">
        <f t="shared" si="43"/>
        <v>84896900</v>
      </c>
      <c r="R483" s="67">
        <v>0</v>
      </c>
      <c r="S483" s="31">
        <v>34150</v>
      </c>
      <c r="T483" s="31">
        <f t="shared" si="44"/>
        <v>25612.5</v>
      </c>
    </row>
    <row r="484" spans="1:20" ht="47.25">
      <c r="A484" s="32">
        <v>7</v>
      </c>
      <c r="B484" s="36" t="s">
        <v>526</v>
      </c>
      <c r="C484" s="31">
        <v>154.4</v>
      </c>
      <c r="D484" s="69">
        <v>116.4</v>
      </c>
      <c r="E484" s="61"/>
      <c r="F484" s="61"/>
      <c r="G484" s="61"/>
      <c r="H484" s="31">
        <v>154.4</v>
      </c>
      <c r="I484" s="63">
        <v>5272760</v>
      </c>
      <c r="J484" s="31">
        <f t="shared" si="42"/>
        <v>34150</v>
      </c>
      <c r="K484" s="61"/>
      <c r="L484" s="61"/>
      <c r="M484" s="61"/>
      <c r="N484" s="61"/>
      <c r="O484" s="61"/>
      <c r="P484" s="61"/>
      <c r="Q484" s="70">
        <f t="shared" si="43"/>
        <v>5272760</v>
      </c>
      <c r="R484" s="67">
        <v>0</v>
      </c>
      <c r="S484" s="31">
        <v>34150</v>
      </c>
      <c r="T484" s="31">
        <f t="shared" si="44"/>
        <v>25612.5</v>
      </c>
    </row>
    <row r="485" spans="1:20" ht="47.25">
      <c r="A485" s="32">
        <f>A484+1</f>
        <v>8</v>
      </c>
      <c r="B485" s="36" t="s">
        <v>0</v>
      </c>
      <c r="C485" s="31">
        <v>360.4</v>
      </c>
      <c r="D485" s="69">
        <v>0</v>
      </c>
      <c r="E485" s="61"/>
      <c r="F485" s="61"/>
      <c r="G485" s="61"/>
      <c r="H485" s="31">
        <v>360.4</v>
      </c>
      <c r="I485" s="63">
        <v>12307660</v>
      </c>
      <c r="J485" s="31">
        <f t="shared" si="42"/>
        <v>34150</v>
      </c>
      <c r="K485" s="61"/>
      <c r="L485" s="61"/>
      <c r="M485" s="61"/>
      <c r="N485" s="61"/>
      <c r="O485" s="61"/>
      <c r="P485" s="61"/>
      <c r="Q485" s="70">
        <f t="shared" si="43"/>
        <v>12307660</v>
      </c>
      <c r="R485" s="67">
        <v>0</v>
      </c>
      <c r="S485" s="31">
        <v>34150</v>
      </c>
      <c r="T485" s="31">
        <f t="shared" si="44"/>
        <v>25612.5</v>
      </c>
    </row>
    <row r="486" spans="1:20" ht="31.5">
      <c r="A486" s="32">
        <f aca="true" t="shared" si="45" ref="A486:A495">A485+1</f>
        <v>9</v>
      </c>
      <c r="B486" s="36" t="s">
        <v>1</v>
      </c>
      <c r="C486" s="31">
        <v>363.8</v>
      </c>
      <c r="D486" s="69">
        <v>266</v>
      </c>
      <c r="E486" s="61"/>
      <c r="F486" s="61"/>
      <c r="G486" s="61"/>
      <c r="H486" s="31">
        <v>363.8</v>
      </c>
      <c r="I486" s="63">
        <v>12423770</v>
      </c>
      <c r="J486" s="31">
        <f t="shared" si="42"/>
        <v>34150</v>
      </c>
      <c r="K486" s="61"/>
      <c r="L486" s="61"/>
      <c r="M486" s="61"/>
      <c r="N486" s="61"/>
      <c r="O486" s="61"/>
      <c r="P486" s="61"/>
      <c r="Q486" s="70">
        <f t="shared" si="43"/>
        <v>12423770</v>
      </c>
      <c r="R486" s="67">
        <v>0</v>
      </c>
      <c r="S486" s="31">
        <v>34150</v>
      </c>
      <c r="T486" s="31">
        <f t="shared" si="44"/>
        <v>25612.5</v>
      </c>
    </row>
    <row r="487" spans="1:20" ht="31.5">
      <c r="A487" s="32">
        <f t="shared" si="45"/>
        <v>10</v>
      </c>
      <c r="B487" s="36" t="s">
        <v>2</v>
      </c>
      <c r="C487" s="31">
        <v>78.3</v>
      </c>
      <c r="D487" s="69">
        <v>43.6</v>
      </c>
      <c r="E487" s="61"/>
      <c r="F487" s="61"/>
      <c r="G487" s="61"/>
      <c r="H487" s="31">
        <v>78.3</v>
      </c>
      <c r="I487" s="63">
        <v>2673945</v>
      </c>
      <c r="J487" s="31">
        <f t="shared" si="42"/>
        <v>34150</v>
      </c>
      <c r="K487" s="61"/>
      <c r="L487" s="61"/>
      <c r="M487" s="61"/>
      <c r="N487" s="61"/>
      <c r="O487" s="61"/>
      <c r="P487" s="61"/>
      <c r="Q487" s="70">
        <f t="shared" si="43"/>
        <v>2673945</v>
      </c>
      <c r="R487" s="67">
        <v>0</v>
      </c>
      <c r="S487" s="31">
        <v>34150</v>
      </c>
      <c r="T487" s="31">
        <f t="shared" si="44"/>
        <v>25612.5</v>
      </c>
    </row>
    <row r="488" spans="1:20" ht="31.5">
      <c r="A488" s="32">
        <f t="shared" si="45"/>
        <v>11</v>
      </c>
      <c r="B488" s="36" t="s">
        <v>3</v>
      </c>
      <c r="C488" s="31">
        <v>105.4</v>
      </c>
      <c r="D488" s="69">
        <v>0</v>
      </c>
      <c r="E488" s="61"/>
      <c r="F488" s="61"/>
      <c r="G488" s="61"/>
      <c r="H488" s="31">
        <v>105.4</v>
      </c>
      <c r="I488" s="63">
        <v>3599410</v>
      </c>
      <c r="J488" s="31">
        <f t="shared" si="42"/>
        <v>34150</v>
      </c>
      <c r="K488" s="61"/>
      <c r="L488" s="61"/>
      <c r="M488" s="61"/>
      <c r="N488" s="61"/>
      <c r="O488" s="61"/>
      <c r="P488" s="61"/>
      <c r="Q488" s="70">
        <f t="shared" si="43"/>
        <v>3599410</v>
      </c>
      <c r="R488" s="67">
        <v>0</v>
      </c>
      <c r="S488" s="31">
        <v>34150</v>
      </c>
      <c r="T488" s="31">
        <f t="shared" si="44"/>
        <v>25612.5</v>
      </c>
    </row>
    <row r="489" spans="1:20" ht="31.5">
      <c r="A489" s="32">
        <f t="shared" si="45"/>
        <v>12</v>
      </c>
      <c r="B489" s="36" t="s">
        <v>4</v>
      </c>
      <c r="C489" s="31">
        <v>196.7</v>
      </c>
      <c r="D489" s="69">
        <v>48.7</v>
      </c>
      <c r="E489" s="61"/>
      <c r="F489" s="61"/>
      <c r="G489" s="61"/>
      <c r="H489" s="31">
        <v>196.7</v>
      </c>
      <c r="I489" s="63">
        <v>6717305</v>
      </c>
      <c r="J489" s="31">
        <f t="shared" si="42"/>
        <v>34150</v>
      </c>
      <c r="K489" s="61"/>
      <c r="L489" s="61"/>
      <c r="M489" s="61"/>
      <c r="N489" s="61"/>
      <c r="O489" s="61"/>
      <c r="P489" s="61"/>
      <c r="Q489" s="70">
        <f t="shared" si="43"/>
        <v>6717305</v>
      </c>
      <c r="R489" s="67">
        <v>0</v>
      </c>
      <c r="S489" s="31">
        <v>34150</v>
      </c>
      <c r="T489" s="31">
        <f t="shared" si="44"/>
        <v>25612.5</v>
      </c>
    </row>
    <row r="490" spans="1:20" ht="31.5">
      <c r="A490" s="32">
        <f t="shared" si="45"/>
        <v>13</v>
      </c>
      <c r="B490" s="36" t="s">
        <v>5</v>
      </c>
      <c r="C490" s="31">
        <v>698.8</v>
      </c>
      <c r="D490" s="69">
        <v>579.5</v>
      </c>
      <c r="E490" s="61"/>
      <c r="F490" s="61"/>
      <c r="G490" s="61"/>
      <c r="H490" s="31">
        <v>698.8</v>
      </c>
      <c r="I490" s="63">
        <v>23864020</v>
      </c>
      <c r="J490" s="31">
        <f t="shared" si="42"/>
        <v>34150</v>
      </c>
      <c r="K490" s="61"/>
      <c r="L490" s="61"/>
      <c r="M490" s="61"/>
      <c r="N490" s="61"/>
      <c r="O490" s="61"/>
      <c r="P490" s="61"/>
      <c r="Q490" s="70">
        <f t="shared" si="43"/>
        <v>23864020</v>
      </c>
      <c r="R490" s="67">
        <v>0</v>
      </c>
      <c r="S490" s="31">
        <v>34150</v>
      </c>
      <c r="T490" s="31">
        <f t="shared" si="44"/>
        <v>25612.5</v>
      </c>
    </row>
    <row r="491" spans="1:20" ht="63">
      <c r="A491" s="32">
        <f t="shared" si="45"/>
        <v>14</v>
      </c>
      <c r="B491" s="36" t="s">
        <v>6</v>
      </c>
      <c r="C491" s="31">
        <v>64.1</v>
      </c>
      <c r="D491" s="69">
        <v>33.7</v>
      </c>
      <c r="E491" s="34"/>
      <c r="F491" s="34"/>
      <c r="G491" s="34"/>
      <c r="H491" s="31">
        <v>64.1</v>
      </c>
      <c r="I491" s="63">
        <v>2189015</v>
      </c>
      <c r="J491" s="31">
        <f t="shared" si="42"/>
        <v>34150</v>
      </c>
      <c r="K491" s="34"/>
      <c r="L491" s="34"/>
      <c r="M491" s="34"/>
      <c r="N491" s="34"/>
      <c r="O491" s="34"/>
      <c r="P491" s="34"/>
      <c r="Q491" s="70">
        <f t="shared" si="43"/>
        <v>2189015</v>
      </c>
      <c r="R491" s="66">
        <v>0</v>
      </c>
      <c r="S491" s="31">
        <v>34150</v>
      </c>
      <c r="T491" s="31">
        <f t="shared" si="44"/>
        <v>25612.5</v>
      </c>
    </row>
    <row r="492" spans="1:20" ht="63">
      <c r="A492" s="32">
        <f t="shared" si="45"/>
        <v>15</v>
      </c>
      <c r="B492" s="36" t="s">
        <v>7</v>
      </c>
      <c r="C492" s="31">
        <v>134.6</v>
      </c>
      <c r="D492" s="69">
        <v>0</v>
      </c>
      <c r="E492" s="34"/>
      <c r="F492" s="34"/>
      <c r="G492" s="34"/>
      <c r="H492" s="31">
        <v>134.6</v>
      </c>
      <c r="I492" s="63">
        <v>4596590</v>
      </c>
      <c r="J492" s="31">
        <f t="shared" si="42"/>
        <v>34150</v>
      </c>
      <c r="K492" s="34"/>
      <c r="L492" s="34"/>
      <c r="M492" s="34"/>
      <c r="N492" s="34"/>
      <c r="O492" s="34"/>
      <c r="P492" s="34"/>
      <c r="Q492" s="70">
        <f t="shared" si="43"/>
        <v>4596590</v>
      </c>
      <c r="R492" s="63">
        <v>0</v>
      </c>
      <c r="S492" s="31">
        <v>34150</v>
      </c>
      <c r="T492" s="31">
        <f t="shared" si="44"/>
        <v>25612.5</v>
      </c>
    </row>
    <row r="493" spans="1:20" ht="63">
      <c r="A493" s="32">
        <f t="shared" si="45"/>
        <v>16</v>
      </c>
      <c r="B493" s="36" t="s">
        <v>8</v>
      </c>
      <c r="C493" s="31">
        <v>142.7</v>
      </c>
      <c r="D493" s="69">
        <v>107.2</v>
      </c>
      <c r="E493" s="34"/>
      <c r="F493" s="34"/>
      <c r="G493" s="34"/>
      <c r="H493" s="31">
        <v>142.7</v>
      </c>
      <c r="I493" s="63">
        <v>4873205</v>
      </c>
      <c r="J493" s="31">
        <f t="shared" si="42"/>
        <v>34150</v>
      </c>
      <c r="K493" s="34"/>
      <c r="L493" s="34"/>
      <c r="M493" s="34"/>
      <c r="N493" s="34"/>
      <c r="O493" s="34"/>
      <c r="P493" s="34"/>
      <c r="Q493" s="70">
        <f t="shared" si="43"/>
        <v>4873205</v>
      </c>
      <c r="R493" s="63">
        <v>0</v>
      </c>
      <c r="S493" s="31">
        <v>34150</v>
      </c>
      <c r="T493" s="31">
        <f t="shared" si="44"/>
        <v>25612.5</v>
      </c>
    </row>
    <row r="494" spans="1:20" ht="63">
      <c r="A494" s="32">
        <f t="shared" si="45"/>
        <v>17</v>
      </c>
      <c r="B494" s="36" t="s">
        <v>9</v>
      </c>
      <c r="C494" s="31">
        <v>99.7</v>
      </c>
      <c r="D494" s="69">
        <v>0</v>
      </c>
      <c r="E494" s="34"/>
      <c r="F494" s="34"/>
      <c r="G494" s="34"/>
      <c r="H494" s="31">
        <v>99.7</v>
      </c>
      <c r="I494" s="63">
        <v>3404755</v>
      </c>
      <c r="J494" s="31">
        <f t="shared" si="42"/>
        <v>34150</v>
      </c>
      <c r="K494" s="34"/>
      <c r="L494" s="34"/>
      <c r="M494" s="34"/>
      <c r="N494" s="34"/>
      <c r="O494" s="34"/>
      <c r="P494" s="34"/>
      <c r="Q494" s="70">
        <f t="shared" si="43"/>
        <v>3404755</v>
      </c>
      <c r="R494" s="63">
        <v>0</v>
      </c>
      <c r="S494" s="31">
        <v>34150</v>
      </c>
      <c r="T494" s="31">
        <f t="shared" si="44"/>
        <v>25612.5</v>
      </c>
    </row>
    <row r="495" spans="1:20" ht="63">
      <c r="A495" s="32">
        <f t="shared" si="45"/>
        <v>18</v>
      </c>
      <c r="B495" s="36" t="s">
        <v>10</v>
      </c>
      <c r="C495" s="31">
        <v>87.1</v>
      </c>
      <c r="D495" s="69">
        <v>0</v>
      </c>
      <c r="E495" s="34"/>
      <c r="F495" s="34"/>
      <c r="G495" s="34"/>
      <c r="H495" s="31">
        <v>87.1</v>
      </c>
      <c r="I495" s="63">
        <v>2974465</v>
      </c>
      <c r="J495" s="31">
        <f t="shared" si="42"/>
        <v>34150</v>
      </c>
      <c r="K495" s="34"/>
      <c r="L495" s="34"/>
      <c r="M495" s="34"/>
      <c r="N495" s="34"/>
      <c r="O495" s="34"/>
      <c r="P495" s="34"/>
      <c r="Q495" s="70">
        <f t="shared" si="43"/>
        <v>2974465</v>
      </c>
      <c r="R495" s="63">
        <v>0</v>
      </c>
      <c r="S495" s="31">
        <v>34150</v>
      </c>
      <c r="T495" s="31">
        <f t="shared" si="44"/>
        <v>25612.5</v>
      </c>
    </row>
    <row r="496" spans="1:20" ht="15.75">
      <c r="A496" s="181" t="s">
        <v>297</v>
      </c>
      <c r="B496" s="181"/>
      <c r="C496" s="58">
        <v>501.3</v>
      </c>
      <c r="D496" s="69">
        <v>285.3</v>
      </c>
      <c r="E496" s="34"/>
      <c r="F496" s="34"/>
      <c r="G496" s="34"/>
      <c r="H496" s="58">
        <v>501.3</v>
      </c>
      <c r="I496" s="58">
        <v>17119395</v>
      </c>
      <c r="J496" s="31">
        <f t="shared" si="42"/>
        <v>34150</v>
      </c>
      <c r="K496" s="34"/>
      <c r="L496" s="34"/>
      <c r="M496" s="34"/>
      <c r="N496" s="34"/>
      <c r="O496" s="34"/>
      <c r="P496" s="34"/>
      <c r="Q496" s="70">
        <f t="shared" si="43"/>
        <v>17119395</v>
      </c>
      <c r="R496" s="63">
        <v>252710</v>
      </c>
      <c r="S496" s="31">
        <v>34150</v>
      </c>
      <c r="T496" s="31">
        <f t="shared" si="44"/>
        <v>25612.5</v>
      </c>
    </row>
    <row r="497" spans="1:20" ht="31.5">
      <c r="A497" s="56">
        <v>19</v>
      </c>
      <c r="B497" s="37" t="s">
        <v>11</v>
      </c>
      <c r="C497" s="82">
        <v>105.1</v>
      </c>
      <c r="D497" s="69">
        <v>0</v>
      </c>
      <c r="E497" s="32"/>
      <c r="F497" s="32"/>
      <c r="G497" s="32"/>
      <c r="H497" s="82">
        <v>105.1</v>
      </c>
      <c r="I497" s="63">
        <v>3589165</v>
      </c>
      <c r="J497" s="31">
        <f t="shared" si="42"/>
        <v>34150</v>
      </c>
      <c r="K497" s="32"/>
      <c r="L497" s="32"/>
      <c r="M497" s="32"/>
      <c r="N497" s="32"/>
      <c r="O497" s="32"/>
      <c r="P497" s="32"/>
      <c r="Q497" s="70">
        <f t="shared" si="43"/>
        <v>3589165</v>
      </c>
      <c r="R497" s="64">
        <v>0</v>
      </c>
      <c r="S497" s="31">
        <v>34150</v>
      </c>
      <c r="T497" s="31">
        <f t="shared" si="44"/>
        <v>25612.5</v>
      </c>
    </row>
    <row r="498" spans="1:20" ht="31.5">
      <c r="A498" s="56">
        <f>A497+1</f>
        <v>20</v>
      </c>
      <c r="B498" s="37" t="s">
        <v>12</v>
      </c>
      <c r="C498" s="82">
        <v>53.1</v>
      </c>
      <c r="D498" s="69">
        <v>0</v>
      </c>
      <c r="E498" s="32"/>
      <c r="F498" s="32"/>
      <c r="G498" s="32"/>
      <c r="H498" s="82">
        <v>53.1</v>
      </c>
      <c r="I498" s="63">
        <v>1813365</v>
      </c>
      <c r="J498" s="31">
        <f t="shared" si="42"/>
        <v>34150</v>
      </c>
      <c r="K498" s="32"/>
      <c r="L498" s="32"/>
      <c r="M498" s="32"/>
      <c r="N498" s="32"/>
      <c r="O498" s="32"/>
      <c r="P498" s="32"/>
      <c r="Q498" s="70">
        <f t="shared" si="43"/>
        <v>1813365</v>
      </c>
      <c r="R498" s="64">
        <v>0</v>
      </c>
      <c r="S498" s="31">
        <v>34150</v>
      </c>
      <c r="T498" s="31">
        <f t="shared" si="44"/>
        <v>25612.5</v>
      </c>
    </row>
    <row r="499" spans="1:20" ht="31.5">
      <c r="A499" s="56">
        <f>A498+1</f>
        <v>21</v>
      </c>
      <c r="B499" s="37" t="s">
        <v>13</v>
      </c>
      <c r="C499" s="82">
        <v>65</v>
      </c>
      <c r="D499" s="69">
        <v>65</v>
      </c>
      <c r="E499" s="32"/>
      <c r="F499" s="32"/>
      <c r="G499" s="32"/>
      <c r="H499" s="82">
        <v>65</v>
      </c>
      <c r="I499" s="63">
        <v>2219750</v>
      </c>
      <c r="J499" s="31">
        <f t="shared" si="42"/>
        <v>34150</v>
      </c>
      <c r="K499" s="32"/>
      <c r="L499" s="32"/>
      <c r="M499" s="32"/>
      <c r="N499" s="32"/>
      <c r="O499" s="32"/>
      <c r="P499" s="32"/>
      <c r="Q499" s="70">
        <f t="shared" si="43"/>
        <v>2219750</v>
      </c>
      <c r="R499" s="64">
        <v>252710</v>
      </c>
      <c r="S499" s="31">
        <v>34150</v>
      </c>
      <c r="T499" s="31">
        <f t="shared" si="44"/>
        <v>25612.5</v>
      </c>
    </row>
    <row r="500" spans="1:20" ht="31.5">
      <c r="A500" s="56">
        <f>A499+1</f>
        <v>22</v>
      </c>
      <c r="B500" s="37" t="s">
        <v>14</v>
      </c>
      <c r="C500" s="73">
        <v>154.9</v>
      </c>
      <c r="D500" s="69">
        <v>154.9</v>
      </c>
      <c r="E500" s="32"/>
      <c r="F500" s="32"/>
      <c r="G500" s="32"/>
      <c r="H500" s="73">
        <v>154.9</v>
      </c>
      <c r="I500" s="63">
        <v>5289835</v>
      </c>
      <c r="J500" s="31">
        <f t="shared" si="42"/>
        <v>34150</v>
      </c>
      <c r="K500" s="32"/>
      <c r="L500" s="32"/>
      <c r="M500" s="32"/>
      <c r="N500" s="32"/>
      <c r="O500" s="32"/>
      <c r="P500" s="32"/>
      <c r="Q500" s="70">
        <f t="shared" si="43"/>
        <v>5289835</v>
      </c>
      <c r="R500" s="64">
        <v>0</v>
      </c>
      <c r="S500" s="31">
        <v>34150</v>
      </c>
      <c r="T500" s="31">
        <f t="shared" si="44"/>
        <v>25612.5</v>
      </c>
    </row>
    <row r="501" spans="1:20" ht="31.5">
      <c r="A501" s="56">
        <f>A500+1</f>
        <v>23</v>
      </c>
      <c r="B501" s="37" t="s">
        <v>15</v>
      </c>
      <c r="C501" s="82">
        <v>123.2</v>
      </c>
      <c r="D501" s="69">
        <v>65.4</v>
      </c>
      <c r="E501" s="32"/>
      <c r="F501" s="32"/>
      <c r="G501" s="32"/>
      <c r="H501" s="82">
        <v>123.2</v>
      </c>
      <c r="I501" s="63">
        <v>4207280</v>
      </c>
      <c r="J501" s="31">
        <f t="shared" si="42"/>
        <v>34150</v>
      </c>
      <c r="K501" s="32"/>
      <c r="L501" s="32"/>
      <c r="M501" s="32"/>
      <c r="N501" s="32"/>
      <c r="O501" s="32"/>
      <c r="P501" s="32"/>
      <c r="Q501" s="70">
        <f t="shared" si="43"/>
        <v>4207280</v>
      </c>
      <c r="R501" s="64">
        <v>0</v>
      </c>
      <c r="S501" s="31">
        <v>34150</v>
      </c>
      <c r="T501" s="31">
        <f t="shared" si="44"/>
        <v>25612.5</v>
      </c>
    </row>
    <row r="502" spans="1:20" ht="15.75">
      <c r="A502" s="183" t="s">
        <v>16</v>
      </c>
      <c r="B502" s="183"/>
      <c r="C502" s="76">
        <v>2863.54</v>
      </c>
      <c r="D502" s="69">
        <v>2215.84</v>
      </c>
      <c r="E502" s="32"/>
      <c r="F502" s="32"/>
      <c r="G502" s="32"/>
      <c r="H502" s="76">
        <v>2863.54</v>
      </c>
      <c r="I502" s="78">
        <v>97789891</v>
      </c>
      <c r="J502" s="31">
        <f t="shared" si="42"/>
        <v>34150</v>
      </c>
      <c r="K502" s="32"/>
      <c r="L502" s="32"/>
      <c r="M502" s="32"/>
      <c r="N502" s="32"/>
      <c r="O502" s="32"/>
      <c r="P502" s="32"/>
      <c r="Q502" s="70">
        <f t="shared" si="43"/>
        <v>97789891</v>
      </c>
      <c r="R502" s="64">
        <v>0</v>
      </c>
      <c r="S502" s="31">
        <v>34150</v>
      </c>
      <c r="T502" s="31">
        <f t="shared" si="44"/>
        <v>25612.5</v>
      </c>
    </row>
    <row r="503" spans="1:20" ht="47.25">
      <c r="A503" s="12">
        <v>24</v>
      </c>
      <c r="B503" s="94" t="s">
        <v>654</v>
      </c>
      <c r="C503" s="77">
        <v>105.2</v>
      </c>
      <c r="D503" s="69">
        <v>105.2</v>
      </c>
      <c r="E503" s="32"/>
      <c r="F503" s="32"/>
      <c r="G503" s="32"/>
      <c r="H503" s="77">
        <v>105.2</v>
      </c>
      <c r="I503" s="78">
        <v>3592580</v>
      </c>
      <c r="J503" s="31">
        <f t="shared" si="42"/>
        <v>34150</v>
      </c>
      <c r="K503" s="32"/>
      <c r="L503" s="32"/>
      <c r="M503" s="32"/>
      <c r="N503" s="32"/>
      <c r="O503" s="32"/>
      <c r="P503" s="32"/>
      <c r="Q503" s="70">
        <f t="shared" si="43"/>
        <v>3592580</v>
      </c>
      <c r="R503" s="64">
        <v>0</v>
      </c>
      <c r="S503" s="31">
        <v>34150</v>
      </c>
      <c r="T503" s="31">
        <f t="shared" si="44"/>
        <v>25612.5</v>
      </c>
    </row>
    <row r="504" spans="1:20" ht="47.25">
      <c r="A504" s="12">
        <f>A503+1</f>
        <v>25</v>
      </c>
      <c r="B504" s="94" t="s">
        <v>655</v>
      </c>
      <c r="C504" s="77">
        <v>82.6</v>
      </c>
      <c r="D504" s="69">
        <v>82.6</v>
      </c>
      <c r="E504" s="32"/>
      <c r="F504" s="32"/>
      <c r="G504" s="32"/>
      <c r="H504" s="77">
        <v>82.6</v>
      </c>
      <c r="I504" s="78">
        <v>2820790</v>
      </c>
      <c r="J504" s="31">
        <f t="shared" si="42"/>
        <v>34150</v>
      </c>
      <c r="K504" s="32"/>
      <c r="L504" s="32"/>
      <c r="M504" s="32"/>
      <c r="N504" s="32"/>
      <c r="O504" s="32"/>
      <c r="P504" s="32"/>
      <c r="Q504" s="70">
        <f t="shared" si="43"/>
        <v>2820790</v>
      </c>
      <c r="R504" s="64">
        <v>0</v>
      </c>
      <c r="S504" s="31">
        <v>34150</v>
      </c>
      <c r="T504" s="31">
        <f t="shared" si="44"/>
        <v>25612.5</v>
      </c>
    </row>
    <row r="505" spans="1:20" ht="47.25">
      <c r="A505" s="12">
        <f aca="true" t="shared" si="46" ref="A505:A526">A504+1</f>
        <v>26</v>
      </c>
      <c r="B505" s="94" t="s">
        <v>656</v>
      </c>
      <c r="C505" s="77">
        <v>52.9</v>
      </c>
      <c r="D505" s="69">
        <v>52.9</v>
      </c>
      <c r="E505" s="32"/>
      <c r="F505" s="32"/>
      <c r="G505" s="32"/>
      <c r="H505" s="77">
        <v>52.9</v>
      </c>
      <c r="I505" s="78">
        <v>1806535</v>
      </c>
      <c r="J505" s="31">
        <f t="shared" si="42"/>
        <v>34150</v>
      </c>
      <c r="K505" s="32"/>
      <c r="L505" s="32"/>
      <c r="M505" s="32"/>
      <c r="N505" s="32"/>
      <c r="O505" s="32"/>
      <c r="P505" s="32"/>
      <c r="Q505" s="70">
        <f t="shared" si="43"/>
        <v>1806535</v>
      </c>
      <c r="R505" s="64">
        <v>0</v>
      </c>
      <c r="S505" s="31">
        <v>34150</v>
      </c>
      <c r="T505" s="31">
        <f t="shared" si="44"/>
        <v>25612.5</v>
      </c>
    </row>
    <row r="506" spans="1:20" ht="47.25">
      <c r="A506" s="12">
        <f t="shared" si="46"/>
        <v>27</v>
      </c>
      <c r="B506" s="94" t="s">
        <v>657</v>
      </c>
      <c r="C506" s="77">
        <v>78.3</v>
      </c>
      <c r="D506" s="69">
        <v>78.3</v>
      </c>
      <c r="E506" s="32"/>
      <c r="F506" s="32"/>
      <c r="G506" s="32"/>
      <c r="H506" s="77">
        <v>78.3</v>
      </c>
      <c r="I506" s="78">
        <v>2673945</v>
      </c>
      <c r="J506" s="31">
        <f t="shared" si="42"/>
        <v>34150</v>
      </c>
      <c r="K506" s="32"/>
      <c r="L506" s="32"/>
      <c r="M506" s="32"/>
      <c r="N506" s="32"/>
      <c r="O506" s="32"/>
      <c r="P506" s="32"/>
      <c r="Q506" s="70">
        <f t="shared" si="43"/>
        <v>2673945</v>
      </c>
      <c r="R506" s="64">
        <v>0</v>
      </c>
      <c r="S506" s="31">
        <v>34150</v>
      </c>
      <c r="T506" s="31">
        <f t="shared" si="44"/>
        <v>25612.5</v>
      </c>
    </row>
    <row r="507" spans="1:20" ht="47.25">
      <c r="A507" s="12">
        <f t="shared" si="46"/>
        <v>28</v>
      </c>
      <c r="B507" s="94" t="s">
        <v>658</v>
      </c>
      <c r="C507" s="77">
        <v>304.54</v>
      </c>
      <c r="D507" s="69">
        <v>304.54</v>
      </c>
      <c r="E507" s="32"/>
      <c r="F507" s="32"/>
      <c r="G507" s="32"/>
      <c r="H507" s="77">
        <v>304.54</v>
      </c>
      <c r="I507" s="78">
        <v>10400041</v>
      </c>
      <c r="J507" s="31">
        <f t="shared" si="42"/>
        <v>34150</v>
      </c>
      <c r="K507" s="32"/>
      <c r="L507" s="32"/>
      <c r="M507" s="32"/>
      <c r="N507" s="32"/>
      <c r="O507" s="32"/>
      <c r="P507" s="32"/>
      <c r="Q507" s="70">
        <f t="shared" si="43"/>
        <v>10400041</v>
      </c>
      <c r="R507" s="64">
        <v>0</v>
      </c>
      <c r="S507" s="31">
        <v>34150</v>
      </c>
      <c r="T507" s="31">
        <f t="shared" si="44"/>
        <v>25612.5</v>
      </c>
    </row>
    <row r="508" spans="1:20" ht="47.25">
      <c r="A508" s="12">
        <f t="shared" si="46"/>
        <v>29</v>
      </c>
      <c r="B508" s="94" t="s">
        <v>659</v>
      </c>
      <c r="C508" s="77">
        <v>80.9</v>
      </c>
      <c r="D508" s="69">
        <v>80.9</v>
      </c>
      <c r="E508" s="32"/>
      <c r="F508" s="32"/>
      <c r="G508" s="32"/>
      <c r="H508" s="77">
        <v>80.9</v>
      </c>
      <c r="I508" s="78">
        <v>2762735</v>
      </c>
      <c r="J508" s="31">
        <f t="shared" si="42"/>
        <v>34150</v>
      </c>
      <c r="K508" s="32"/>
      <c r="L508" s="32"/>
      <c r="M508" s="32"/>
      <c r="N508" s="32"/>
      <c r="O508" s="32"/>
      <c r="P508" s="32"/>
      <c r="Q508" s="70">
        <f t="shared" si="43"/>
        <v>2762735</v>
      </c>
      <c r="R508" s="64">
        <v>0</v>
      </c>
      <c r="S508" s="31">
        <v>34150</v>
      </c>
      <c r="T508" s="31">
        <f t="shared" si="44"/>
        <v>25612.5</v>
      </c>
    </row>
    <row r="509" spans="1:20" ht="47.25">
      <c r="A509" s="12">
        <f t="shared" si="46"/>
        <v>30</v>
      </c>
      <c r="B509" s="94" t="s">
        <v>660</v>
      </c>
      <c r="C509" s="77">
        <v>83.1</v>
      </c>
      <c r="D509" s="69">
        <v>83.1</v>
      </c>
      <c r="E509" s="32"/>
      <c r="F509" s="32"/>
      <c r="G509" s="32"/>
      <c r="H509" s="77">
        <v>83.1</v>
      </c>
      <c r="I509" s="78">
        <v>2837865</v>
      </c>
      <c r="J509" s="31">
        <f t="shared" si="42"/>
        <v>34150</v>
      </c>
      <c r="K509" s="32"/>
      <c r="L509" s="32"/>
      <c r="M509" s="32"/>
      <c r="N509" s="32"/>
      <c r="O509" s="32"/>
      <c r="P509" s="32"/>
      <c r="Q509" s="70">
        <f t="shared" si="43"/>
        <v>2837865</v>
      </c>
      <c r="R509" s="64">
        <v>0</v>
      </c>
      <c r="S509" s="31">
        <v>34150</v>
      </c>
      <c r="T509" s="31">
        <f t="shared" si="44"/>
        <v>25612.5</v>
      </c>
    </row>
    <row r="510" spans="1:20" ht="31.5">
      <c r="A510" s="12">
        <f t="shared" si="46"/>
        <v>31</v>
      </c>
      <c r="B510" s="94" t="s">
        <v>661</v>
      </c>
      <c r="C510" s="77">
        <v>263.7</v>
      </c>
      <c r="D510" s="69">
        <v>136.8</v>
      </c>
      <c r="E510" s="32"/>
      <c r="F510" s="32"/>
      <c r="G510" s="32"/>
      <c r="H510" s="77">
        <v>263.7</v>
      </c>
      <c r="I510" s="78">
        <v>9005355</v>
      </c>
      <c r="J510" s="31">
        <f t="shared" si="42"/>
        <v>34150</v>
      </c>
      <c r="K510" s="32"/>
      <c r="L510" s="32"/>
      <c r="M510" s="32"/>
      <c r="N510" s="32"/>
      <c r="O510" s="32"/>
      <c r="P510" s="32"/>
      <c r="Q510" s="70">
        <f t="shared" si="43"/>
        <v>9005355</v>
      </c>
      <c r="R510" s="64">
        <v>0</v>
      </c>
      <c r="S510" s="31">
        <v>34150</v>
      </c>
      <c r="T510" s="31">
        <f t="shared" si="44"/>
        <v>25612.5</v>
      </c>
    </row>
    <row r="511" spans="1:20" ht="31.5">
      <c r="A511" s="12">
        <f t="shared" si="46"/>
        <v>32</v>
      </c>
      <c r="B511" s="94" t="s">
        <v>662</v>
      </c>
      <c r="C511" s="77">
        <v>116.1</v>
      </c>
      <c r="D511" s="69">
        <v>116.1</v>
      </c>
      <c r="E511" s="32"/>
      <c r="F511" s="32"/>
      <c r="G511" s="32"/>
      <c r="H511" s="77">
        <v>116.1</v>
      </c>
      <c r="I511" s="78">
        <v>3964815</v>
      </c>
      <c r="J511" s="31">
        <f t="shared" si="42"/>
        <v>34150</v>
      </c>
      <c r="K511" s="32"/>
      <c r="L511" s="32"/>
      <c r="M511" s="32"/>
      <c r="N511" s="32"/>
      <c r="O511" s="32"/>
      <c r="P511" s="32"/>
      <c r="Q511" s="70">
        <f t="shared" si="43"/>
        <v>3964815</v>
      </c>
      <c r="R511" s="64">
        <v>0</v>
      </c>
      <c r="S511" s="31">
        <v>34150</v>
      </c>
      <c r="T511" s="31">
        <f t="shared" si="44"/>
        <v>25612.5</v>
      </c>
    </row>
    <row r="512" spans="1:20" ht="47.25">
      <c r="A512" s="12">
        <f t="shared" si="46"/>
        <v>33</v>
      </c>
      <c r="B512" s="94" t="s">
        <v>17</v>
      </c>
      <c r="C512" s="77">
        <v>96.4</v>
      </c>
      <c r="D512" s="69">
        <v>0</v>
      </c>
      <c r="E512" s="32"/>
      <c r="F512" s="32"/>
      <c r="G512" s="32"/>
      <c r="H512" s="77">
        <v>96.4</v>
      </c>
      <c r="I512" s="78">
        <v>3292060</v>
      </c>
      <c r="J512" s="31">
        <f t="shared" si="42"/>
        <v>34150</v>
      </c>
      <c r="K512" s="32"/>
      <c r="L512" s="32"/>
      <c r="M512" s="32"/>
      <c r="N512" s="32"/>
      <c r="O512" s="32"/>
      <c r="P512" s="32"/>
      <c r="Q512" s="70">
        <f t="shared" si="43"/>
        <v>3292060</v>
      </c>
      <c r="R512" s="64">
        <v>0</v>
      </c>
      <c r="S512" s="31">
        <v>34150</v>
      </c>
      <c r="T512" s="31">
        <f t="shared" si="44"/>
        <v>25612.5</v>
      </c>
    </row>
    <row r="513" spans="1:20" ht="47.25">
      <c r="A513" s="12">
        <f t="shared" si="46"/>
        <v>34</v>
      </c>
      <c r="B513" s="94" t="s">
        <v>663</v>
      </c>
      <c r="C513" s="77">
        <v>116.9</v>
      </c>
      <c r="D513" s="69">
        <v>0</v>
      </c>
      <c r="E513" s="32"/>
      <c r="F513" s="32"/>
      <c r="G513" s="32"/>
      <c r="H513" s="77">
        <v>116.9</v>
      </c>
      <c r="I513" s="78">
        <v>3992135</v>
      </c>
      <c r="J513" s="31">
        <f t="shared" si="42"/>
        <v>34150</v>
      </c>
      <c r="K513" s="32"/>
      <c r="L513" s="32"/>
      <c r="M513" s="32"/>
      <c r="N513" s="32"/>
      <c r="O513" s="32"/>
      <c r="P513" s="32"/>
      <c r="Q513" s="70">
        <f t="shared" si="43"/>
        <v>3992135</v>
      </c>
      <c r="R513" s="64">
        <v>0</v>
      </c>
      <c r="S513" s="31">
        <v>34150</v>
      </c>
      <c r="T513" s="31">
        <f t="shared" si="44"/>
        <v>25612.5</v>
      </c>
    </row>
    <row r="514" spans="1:20" ht="47.25">
      <c r="A514" s="12">
        <f t="shared" si="46"/>
        <v>35</v>
      </c>
      <c r="B514" s="94" t="s">
        <v>664</v>
      </c>
      <c r="C514" s="77">
        <v>86.4</v>
      </c>
      <c r="D514" s="69">
        <v>43.2</v>
      </c>
      <c r="E514" s="32"/>
      <c r="F514" s="32"/>
      <c r="G514" s="32"/>
      <c r="H514" s="77">
        <v>86.4</v>
      </c>
      <c r="I514" s="78">
        <v>2950560</v>
      </c>
      <c r="J514" s="31">
        <f t="shared" si="42"/>
        <v>34150</v>
      </c>
      <c r="K514" s="32"/>
      <c r="L514" s="32"/>
      <c r="M514" s="32"/>
      <c r="N514" s="32"/>
      <c r="O514" s="32"/>
      <c r="P514" s="32"/>
      <c r="Q514" s="70">
        <f t="shared" si="43"/>
        <v>2950560</v>
      </c>
      <c r="R514" s="64">
        <v>0</v>
      </c>
      <c r="S514" s="31">
        <v>34150</v>
      </c>
      <c r="T514" s="31">
        <f t="shared" si="44"/>
        <v>25612.5</v>
      </c>
    </row>
    <row r="515" spans="1:20" ht="47.25">
      <c r="A515" s="12">
        <f t="shared" si="46"/>
        <v>36</v>
      </c>
      <c r="B515" s="94" t="s">
        <v>665</v>
      </c>
      <c r="C515" s="77">
        <v>116.7</v>
      </c>
      <c r="D515" s="69">
        <v>116.7</v>
      </c>
      <c r="E515" s="32"/>
      <c r="F515" s="32"/>
      <c r="G515" s="32"/>
      <c r="H515" s="77">
        <v>116.7</v>
      </c>
      <c r="I515" s="78">
        <v>3985305</v>
      </c>
      <c r="J515" s="31">
        <f t="shared" si="42"/>
        <v>34150</v>
      </c>
      <c r="K515" s="32"/>
      <c r="L515" s="32"/>
      <c r="M515" s="32"/>
      <c r="N515" s="32"/>
      <c r="O515" s="32"/>
      <c r="P515" s="32"/>
      <c r="Q515" s="70">
        <f t="shared" si="43"/>
        <v>3985305</v>
      </c>
      <c r="R515" s="64">
        <v>0</v>
      </c>
      <c r="S515" s="31">
        <v>34150</v>
      </c>
      <c r="T515" s="31">
        <f t="shared" si="44"/>
        <v>25612.5</v>
      </c>
    </row>
    <row r="516" spans="1:20" ht="47.25">
      <c r="A516" s="12">
        <f t="shared" si="46"/>
        <v>37</v>
      </c>
      <c r="B516" s="94" t="s">
        <v>666</v>
      </c>
      <c r="C516" s="77">
        <v>85.6</v>
      </c>
      <c r="D516" s="69">
        <v>64.7</v>
      </c>
      <c r="E516" s="32"/>
      <c r="F516" s="32"/>
      <c r="G516" s="32"/>
      <c r="H516" s="77">
        <v>85.6</v>
      </c>
      <c r="I516" s="78">
        <v>2923240</v>
      </c>
      <c r="J516" s="31">
        <f t="shared" si="42"/>
        <v>34150</v>
      </c>
      <c r="K516" s="32"/>
      <c r="L516" s="32"/>
      <c r="M516" s="32"/>
      <c r="N516" s="32"/>
      <c r="O516" s="32"/>
      <c r="P516" s="32"/>
      <c r="Q516" s="70">
        <f t="shared" si="43"/>
        <v>2923240</v>
      </c>
      <c r="R516" s="64">
        <v>0</v>
      </c>
      <c r="S516" s="31">
        <v>34150</v>
      </c>
      <c r="T516" s="31">
        <f t="shared" si="44"/>
        <v>25612.5</v>
      </c>
    </row>
    <row r="517" spans="1:20" ht="63">
      <c r="A517" s="12">
        <f t="shared" si="46"/>
        <v>38</v>
      </c>
      <c r="B517" s="94" t="s">
        <v>667</v>
      </c>
      <c r="C517" s="77">
        <v>263.1</v>
      </c>
      <c r="D517" s="69">
        <v>227.8</v>
      </c>
      <c r="E517" s="32"/>
      <c r="F517" s="32"/>
      <c r="G517" s="32"/>
      <c r="H517" s="77">
        <v>263.1</v>
      </c>
      <c r="I517" s="78">
        <v>8984865</v>
      </c>
      <c r="J517" s="31">
        <f t="shared" si="42"/>
        <v>34150</v>
      </c>
      <c r="K517" s="32"/>
      <c r="L517" s="32"/>
      <c r="M517" s="32"/>
      <c r="N517" s="32"/>
      <c r="O517" s="32"/>
      <c r="P517" s="32"/>
      <c r="Q517" s="70">
        <f t="shared" si="43"/>
        <v>8984865</v>
      </c>
      <c r="R517" s="64">
        <v>0</v>
      </c>
      <c r="S517" s="31">
        <v>34150</v>
      </c>
      <c r="T517" s="31">
        <f t="shared" si="44"/>
        <v>25612.5</v>
      </c>
    </row>
    <row r="518" spans="1:20" ht="31.5">
      <c r="A518" s="12">
        <f t="shared" si="46"/>
        <v>39</v>
      </c>
      <c r="B518" s="94" t="s">
        <v>668</v>
      </c>
      <c r="C518" s="77">
        <v>111.4</v>
      </c>
      <c r="D518" s="69">
        <v>111.4</v>
      </c>
      <c r="E518" s="32"/>
      <c r="F518" s="32"/>
      <c r="G518" s="32"/>
      <c r="H518" s="77">
        <v>111.4</v>
      </c>
      <c r="I518" s="78">
        <v>3804310</v>
      </c>
      <c r="J518" s="31">
        <f t="shared" si="42"/>
        <v>34150</v>
      </c>
      <c r="K518" s="32"/>
      <c r="L518" s="32"/>
      <c r="M518" s="32"/>
      <c r="N518" s="32"/>
      <c r="O518" s="32"/>
      <c r="P518" s="32"/>
      <c r="Q518" s="70">
        <f t="shared" si="43"/>
        <v>3804310</v>
      </c>
      <c r="R518" s="64">
        <v>0</v>
      </c>
      <c r="S518" s="31">
        <v>34150</v>
      </c>
      <c r="T518" s="31">
        <f t="shared" si="44"/>
        <v>25612.5</v>
      </c>
    </row>
    <row r="519" spans="1:20" ht="47.25">
      <c r="A519" s="12">
        <f t="shared" si="46"/>
        <v>40</v>
      </c>
      <c r="B519" s="94" t="s">
        <v>669</v>
      </c>
      <c r="C519" s="77">
        <v>78.4</v>
      </c>
      <c r="D519" s="69">
        <v>78.4</v>
      </c>
      <c r="E519" s="32"/>
      <c r="F519" s="32"/>
      <c r="G519" s="32"/>
      <c r="H519" s="77">
        <v>78.4</v>
      </c>
      <c r="I519" s="78">
        <v>2677360</v>
      </c>
      <c r="J519" s="31">
        <f t="shared" si="42"/>
        <v>34150</v>
      </c>
      <c r="K519" s="32"/>
      <c r="L519" s="32"/>
      <c r="M519" s="32"/>
      <c r="N519" s="32"/>
      <c r="O519" s="32"/>
      <c r="P519" s="32"/>
      <c r="Q519" s="70">
        <f t="shared" si="43"/>
        <v>2677360</v>
      </c>
      <c r="R519" s="64">
        <v>0</v>
      </c>
      <c r="S519" s="31">
        <v>34150</v>
      </c>
      <c r="T519" s="31">
        <f t="shared" si="44"/>
        <v>25612.5</v>
      </c>
    </row>
    <row r="520" spans="1:20" ht="47.25">
      <c r="A520" s="12">
        <f t="shared" si="46"/>
        <v>41</v>
      </c>
      <c r="B520" s="94" t="s">
        <v>670</v>
      </c>
      <c r="C520" s="77">
        <v>128.5</v>
      </c>
      <c r="D520" s="69">
        <v>75.1</v>
      </c>
      <c r="E520" s="32"/>
      <c r="F520" s="32"/>
      <c r="G520" s="32"/>
      <c r="H520" s="77">
        <v>128.5</v>
      </c>
      <c r="I520" s="78">
        <v>4388275</v>
      </c>
      <c r="J520" s="31">
        <f t="shared" si="42"/>
        <v>34150</v>
      </c>
      <c r="K520" s="32"/>
      <c r="L520" s="32"/>
      <c r="M520" s="32"/>
      <c r="N520" s="32"/>
      <c r="O520" s="32"/>
      <c r="P520" s="32"/>
      <c r="Q520" s="70">
        <f t="shared" si="43"/>
        <v>4388275</v>
      </c>
      <c r="R520" s="64">
        <v>0</v>
      </c>
      <c r="S520" s="31">
        <v>34150</v>
      </c>
      <c r="T520" s="31">
        <f t="shared" si="44"/>
        <v>25612.5</v>
      </c>
    </row>
    <row r="521" spans="1:20" ht="47.25">
      <c r="A521" s="12">
        <f t="shared" si="46"/>
        <v>42</v>
      </c>
      <c r="B521" s="94" t="s">
        <v>671</v>
      </c>
      <c r="C521" s="77">
        <v>135.1</v>
      </c>
      <c r="D521" s="69">
        <v>64.1</v>
      </c>
      <c r="E521" s="32"/>
      <c r="F521" s="32"/>
      <c r="G521" s="32"/>
      <c r="H521" s="77">
        <v>135.1</v>
      </c>
      <c r="I521" s="78">
        <v>4613665</v>
      </c>
      <c r="J521" s="31">
        <f aca="true" t="shared" si="47" ref="J521:J584">I521/H521</f>
        <v>34150</v>
      </c>
      <c r="K521" s="32"/>
      <c r="L521" s="32"/>
      <c r="M521" s="32"/>
      <c r="N521" s="32"/>
      <c r="O521" s="32"/>
      <c r="P521" s="32"/>
      <c r="Q521" s="70">
        <f aca="true" t="shared" si="48" ref="Q521:Q584">I521</f>
        <v>4613665</v>
      </c>
      <c r="R521" s="64">
        <v>0</v>
      </c>
      <c r="S521" s="31">
        <v>34150</v>
      </c>
      <c r="T521" s="31">
        <f t="shared" si="44"/>
        <v>25612.5</v>
      </c>
    </row>
    <row r="522" spans="1:20" ht="47.25">
      <c r="A522" s="12">
        <f t="shared" si="46"/>
        <v>43</v>
      </c>
      <c r="B522" s="94" t="s">
        <v>672</v>
      </c>
      <c r="C522" s="77">
        <v>137.4</v>
      </c>
      <c r="D522" s="69">
        <v>137.4</v>
      </c>
      <c r="E522" s="32"/>
      <c r="F522" s="32"/>
      <c r="G522" s="32"/>
      <c r="H522" s="77">
        <v>137.4</v>
      </c>
      <c r="I522" s="78">
        <v>4692210</v>
      </c>
      <c r="J522" s="31">
        <f t="shared" si="47"/>
        <v>34150</v>
      </c>
      <c r="K522" s="32"/>
      <c r="L522" s="32"/>
      <c r="M522" s="32"/>
      <c r="N522" s="32"/>
      <c r="O522" s="32"/>
      <c r="P522" s="32"/>
      <c r="Q522" s="70">
        <f t="shared" si="48"/>
        <v>4692210</v>
      </c>
      <c r="R522" s="64">
        <v>0</v>
      </c>
      <c r="S522" s="31">
        <v>34150</v>
      </c>
      <c r="T522" s="31">
        <f aca="true" t="shared" si="49" ref="T522:T585">S522/4*3</f>
        <v>25612.5</v>
      </c>
    </row>
    <row r="523" spans="1:20" ht="47.25">
      <c r="A523" s="12">
        <f t="shared" si="46"/>
        <v>44</v>
      </c>
      <c r="B523" s="94" t="s">
        <v>673</v>
      </c>
      <c r="C523" s="77">
        <v>79.2</v>
      </c>
      <c r="D523" s="69">
        <v>26.5</v>
      </c>
      <c r="E523" s="61"/>
      <c r="F523" s="61"/>
      <c r="G523" s="61"/>
      <c r="H523" s="77">
        <v>79.2</v>
      </c>
      <c r="I523" s="78">
        <v>2704680</v>
      </c>
      <c r="J523" s="31">
        <f t="shared" si="47"/>
        <v>34150</v>
      </c>
      <c r="K523" s="61"/>
      <c r="L523" s="61"/>
      <c r="M523" s="61"/>
      <c r="N523" s="61"/>
      <c r="O523" s="61"/>
      <c r="P523" s="61"/>
      <c r="Q523" s="70">
        <f t="shared" si="48"/>
        <v>2704680</v>
      </c>
      <c r="R523" s="67">
        <v>0</v>
      </c>
      <c r="S523" s="31">
        <v>34150</v>
      </c>
      <c r="T523" s="31">
        <f t="shared" si="49"/>
        <v>25612.5</v>
      </c>
    </row>
    <row r="524" spans="1:20" ht="63">
      <c r="A524" s="12">
        <f t="shared" si="46"/>
        <v>45</v>
      </c>
      <c r="B524" s="94" t="s">
        <v>674</v>
      </c>
      <c r="C524" s="77">
        <v>67.7</v>
      </c>
      <c r="D524" s="69">
        <v>67.7</v>
      </c>
      <c r="E524" s="61"/>
      <c r="F524" s="61"/>
      <c r="G524" s="61"/>
      <c r="H524" s="77">
        <v>67.7</v>
      </c>
      <c r="I524" s="78">
        <v>2311955</v>
      </c>
      <c r="J524" s="31">
        <f t="shared" si="47"/>
        <v>34150</v>
      </c>
      <c r="K524" s="61"/>
      <c r="L524" s="61"/>
      <c r="M524" s="61"/>
      <c r="N524" s="61"/>
      <c r="O524" s="61"/>
      <c r="P524" s="61"/>
      <c r="Q524" s="70">
        <f t="shared" si="48"/>
        <v>2311955</v>
      </c>
      <c r="R524" s="67">
        <v>0</v>
      </c>
      <c r="S524" s="31">
        <v>34150</v>
      </c>
      <c r="T524" s="31">
        <f t="shared" si="49"/>
        <v>25612.5</v>
      </c>
    </row>
    <row r="525" spans="1:20" ht="47.25">
      <c r="A525" s="12">
        <f t="shared" si="46"/>
        <v>46</v>
      </c>
      <c r="B525" s="94" t="s">
        <v>675</v>
      </c>
      <c r="C525" s="77">
        <v>71.6</v>
      </c>
      <c r="D525" s="69">
        <v>71.6</v>
      </c>
      <c r="E525" s="53"/>
      <c r="F525" s="53"/>
      <c r="G525" s="53"/>
      <c r="H525" s="77">
        <v>71.6</v>
      </c>
      <c r="I525" s="78">
        <v>2445140</v>
      </c>
      <c r="J525" s="31">
        <f t="shared" si="47"/>
        <v>34150</v>
      </c>
      <c r="K525" s="53"/>
      <c r="L525" s="53"/>
      <c r="M525" s="53"/>
      <c r="N525" s="53"/>
      <c r="O525" s="53"/>
      <c r="P525" s="53"/>
      <c r="Q525" s="70">
        <f t="shared" si="48"/>
        <v>2445140</v>
      </c>
      <c r="R525" s="66">
        <v>0</v>
      </c>
      <c r="S525" s="31">
        <v>34150</v>
      </c>
      <c r="T525" s="31">
        <f t="shared" si="49"/>
        <v>25612.5</v>
      </c>
    </row>
    <row r="526" spans="1:20" ht="47.25">
      <c r="A526" s="12">
        <f t="shared" si="46"/>
        <v>47</v>
      </c>
      <c r="B526" s="89" t="s">
        <v>676</v>
      </c>
      <c r="C526" s="77">
        <v>121.8</v>
      </c>
      <c r="D526" s="69">
        <v>90.8</v>
      </c>
      <c r="E526" s="34"/>
      <c r="F526" s="34"/>
      <c r="G526" s="34"/>
      <c r="H526" s="77">
        <v>121.8</v>
      </c>
      <c r="I526" s="78">
        <v>4159470</v>
      </c>
      <c r="J526" s="31">
        <f t="shared" si="47"/>
        <v>34150</v>
      </c>
      <c r="K526" s="34"/>
      <c r="L526" s="34"/>
      <c r="M526" s="34"/>
      <c r="N526" s="34"/>
      <c r="O526" s="34"/>
      <c r="P526" s="34"/>
      <c r="Q526" s="70">
        <f t="shared" si="48"/>
        <v>4159470</v>
      </c>
      <c r="R526" s="63">
        <v>0</v>
      </c>
      <c r="S526" s="31">
        <v>34150</v>
      </c>
      <c r="T526" s="31">
        <f t="shared" si="49"/>
        <v>25612.5</v>
      </c>
    </row>
    <row r="527" spans="1:20" ht="15.75">
      <c r="A527" s="184" t="s">
        <v>19</v>
      </c>
      <c r="B527" s="184"/>
      <c r="C527" s="31">
        <v>260.4</v>
      </c>
      <c r="D527" s="69">
        <v>178.2</v>
      </c>
      <c r="E527" s="34"/>
      <c r="F527" s="34"/>
      <c r="G527" s="34"/>
      <c r="H527" s="31">
        <v>260.4</v>
      </c>
      <c r="I527" s="63">
        <v>8892660</v>
      </c>
      <c r="J527" s="31">
        <f t="shared" si="47"/>
        <v>34150</v>
      </c>
      <c r="K527" s="34"/>
      <c r="L527" s="34"/>
      <c r="M527" s="34"/>
      <c r="N527" s="34"/>
      <c r="O527" s="34"/>
      <c r="P527" s="34"/>
      <c r="Q527" s="70">
        <f t="shared" si="48"/>
        <v>8892660</v>
      </c>
      <c r="R527" s="63">
        <v>0</v>
      </c>
      <c r="S527" s="31">
        <v>34150</v>
      </c>
      <c r="T527" s="31">
        <f t="shared" si="49"/>
        <v>25612.5</v>
      </c>
    </row>
    <row r="528" spans="1:20" ht="47.25">
      <c r="A528" s="10">
        <v>48</v>
      </c>
      <c r="B528" s="94" t="s">
        <v>20</v>
      </c>
      <c r="C528" s="31">
        <v>124.9</v>
      </c>
      <c r="D528" s="69">
        <v>124.9</v>
      </c>
      <c r="E528" s="34"/>
      <c r="F528" s="34"/>
      <c r="G528" s="34"/>
      <c r="H528" s="31">
        <v>124.9</v>
      </c>
      <c r="I528" s="63">
        <v>4265335</v>
      </c>
      <c r="J528" s="31">
        <f t="shared" si="47"/>
        <v>34150</v>
      </c>
      <c r="K528" s="34"/>
      <c r="L528" s="34"/>
      <c r="M528" s="34"/>
      <c r="N528" s="34"/>
      <c r="O528" s="34"/>
      <c r="P528" s="34"/>
      <c r="Q528" s="70">
        <f t="shared" si="48"/>
        <v>4265335</v>
      </c>
      <c r="R528" s="63">
        <v>0</v>
      </c>
      <c r="S528" s="31">
        <v>34150</v>
      </c>
      <c r="T528" s="31">
        <f t="shared" si="49"/>
        <v>25612.5</v>
      </c>
    </row>
    <row r="529" spans="1:20" ht="47.25">
      <c r="A529" s="10">
        <f>A528+1</f>
        <v>49</v>
      </c>
      <c r="B529" s="94" t="s">
        <v>21</v>
      </c>
      <c r="C529" s="31">
        <v>135.5</v>
      </c>
      <c r="D529" s="69">
        <v>53.3</v>
      </c>
      <c r="E529" s="34"/>
      <c r="F529" s="34"/>
      <c r="G529" s="34"/>
      <c r="H529" s="31">
        <v>135.5</v>
      </c>
      <c r="I529" s="63">
        <v>4627325</v>
      </c>
      <c r="J529" s="31">
        <f t="shared" si="47"/>
        <v>34150</v>
      </c>
      <c r="K529" s="34"/>
      <c r="L529" s="34"/>
      <c r="M529" s="34"/>
      <c r="N529" s="34"/>
      <c r="O529" s="34"/>
      <c r="P529" s="34"/>
      <c r="Q529" s="70">
        <f t="shared" si="48"/>
        <v>4627325</v>
      </c>
      <c r="R529" s="63">
        <v>0</v>
      </c>
      <c r="S529" s="31">
        <v>34150</v>
      </c>
      <c r="T529" s="31">
        <f t="shared" si="49"/>
        <v>25612.5</v>
      </c>
    </row>
    <row r="530" spans="1:20" ht="15.75">
      <c r="A530" s="153" t="s">
        <v>18</v>
      </c>
      <c r="B530" s="153"/>
      <c r="C530" s="82">
        <v>2072.5</v>
      </c>
      <c r="D530" s="69">
        <v>621</v>
      </c>
      <c r="E530" s="34"/>
      <c r="F530" s="34"/>
      <c r="G530" s="34"/>
      <c r="H530" s="82">
        <v>2072.5</v>
      </c>
      <c r="I530" s="81">
        <v>70775875</v>
      </c>
      <c r="J530" s="31">
        <f t="shared" si="47"/>
        <v>34150</v>
      </c>
      <c r="K530" s="34"/>
      <c r="L530" s="34"/>
      <c r="M530" s="34"/>
      <c r="N530" s="34"/>
      <c r="O530" s="34"/>
      <c r="P530" s="34"/>
      <c r="Q530" s="70">
        <f t="shared" si="48"/>
        <v>70775875</v>
      </c>
      <c r="R530" s="63">
        <v>0</v>
      </c>
      <c r="S530" s="31">
        <v>34150</v>
      </c>
      <c r="T530" s="31">
        <f t="shared" si="49"/>
        <v>25612.5</v>
      </c>
    </row>
    <row r="531" spans="1:20" ht="31.5">
      <c r="A531" s="54">
        <v>50</v>
      </c>
      <c r="B531" s="98" t="s">
        <v>22</v>
      </c>
      <c r="C531" s="82">
        <v>291.7</v>
      </c>
      <c r="D531" s="69">
        <v>167.1</v>
      </c>
      <c r="E531" s="34"/>
      <c r="F531" s="34"/>
      <c r="G531" s="34"/>
      <c r="H531" s="82">
        <v>291.7</v>
      </c>
      <c r="I531" s="81">
        <v>9961555.000000002</v>
      </c>
      <c r="J531" s="31">
        <f t="shared" si="47"/>
        <v>34150.00000000001</v>
      </c>
      <c r="K531" s="34"/>
      <c r="L531" s="34"/>
      <c r="M531" s="34"/>
      <c r="N531" s="34"/>
      <c r="O531" s="34"/>
      <c r="P531" s="34"/>
      <c r="Q531" s="70">
        <f t="shared" si="48"/>
        <v>9961555.000000002</v>
      </c>
      <c r="R531" s="63">
        <v>0</v>
      </c>
      <c r="S531" s="31">
        <v>34150</v>
      </c>
      <c r="T531" s="31">
        <f t="shared" si="49"/>
        <v>25612.5</v>
      </c>
    </row>
    <row r="532" spans="1:20" ht="31.5">
      <c r="A532" s="54">
        <f>A531+1</f>
        <v>51</v>
      </c>
      <c r="B532" s="98" t="s">
        <v>23</v>
      </c>
      <c r="C532" s="82">
        <v>102.2</v>
      </c>
      <c r="D532" s="69">
        <v>102.2</v>
      </c>
      <c r="E532" s="34"/>
      <c r="F532" s="34"/>
      <c r="G532" s="34"/>
      <c r="H532" s="82">
        <v>102.2</v>
      </c>
      <c r="I532" s="81">
        <v>3490130</v>
      </c>
      <c r="J532" s="31">
        <f t="shared" si="47"/>
        <v>34150</v>
      </c>
      <c r="K532" s="34"/>
      <c r="L532" s="34"/>
      <c r="M532" s="34"/>
      <c r="N532" s="34"/>
      <c r="O532" s="34"/>
      <c r="P532" s="34"/>
      <c r="Q532" s="70">
        <f t="shared" si="48"/>
        <v>3490130</v>
      </c>
      <c r="R532" s="63">
        <v>0</v>
      </c>
      <c r="S532" s="31">
        <v>34150</v>
      </c>
      <c r="T532" s="31">
        <f t="shared" si="49"/>
        <v>25612.5</v>
      </c>
    </row>
    <row r="533" spans="1:20" ht="31.5">
      <c r="A533" s="54">
        <f aca="true" t="shared" si="50" ref="A533:A552">A532+1</f>
        <v>52</v>
      </c>
      <c r="B533" s="99" t="s">
        <v>24</v>
      </c>
      <c r="C533" s="82">
        <v>306.5</v>
      </c>
      <c r="D533" s="69">
        <v>0</v>
      </c>
      <c r="E533" s="34"/>
      <c r="F533" s="34"/>
      <c r="G533" s="34"/>
      <c r="H533" s="82">
        <v>306.5</v>
      </c>
      <c r="I533" s="81">
        <v>10466975</v>
      </c>
      <c r="J533" s="31">
        <f t="shared" si="47"/>
        <v>34150</v>
      </c>
      <c r="K533" s="34"/>
      <c r="L533" s="34"/>
      <c r="M533" s="34"/>
      <c r="N533" s="34"/>
      <c r="O533" s="34"/>
      <c r="P533" s="34"/>
      <c r="Q533" s="70">
        <f t="shared" si="48"/>
        <v>10466975</v>
      </c>
      <c r="R533" s="63">
        <v>0</v>
      </c>
      <c r="S533" s="31">
        <v>34150</v>
      </c>
      <c r="T533" s="31">
        <f t="shared" si="49"/>
        <v>25612.5</v>
      </c>
    </row>
    <row r="534" spans="1:20" ht="31.5">
      <c r="A534" s="54">
        <f t="shared" si="50"/>
        <v>53</v>
      </c>
      <c r="B534" s="99" t="s">
        <v>25</v>
      </c>
      <c r="C534" s="82">
        <v>111.5</v>
      </c>
      <c r="D534" s="69">
        <v>0</v>
      </c>
      <c r="E534" s="34"/>
      <c r="F534" s="34"/>
      <c r="G534" s="34"/>
      <c r="H534" s="82">
        <v>111.5</v>
      </c>
      <c r="I534" s="81">
        <v>3807725</v>
      </c>
      <c r="J534" s="31">
        <f t="shared" si="47"/>
        <v>34150</v>
      </c>
      <c r="K534" s="34"/>
      <c r="L534" s="34"/>
      <c r="M534" s="34"/>
      <c r="N534" s="34"/>
      <c r="O534" s="34"/>
      <c r="P534" s="34"/>
      <c r="Q534" s="70">
        <f t="shared" si="48"/>
        <v>3807725</v>
      </c>
      <c r="R534" s="63">
        <v>0</v>
      </c>
      <c r="S534" s="31">
        <v>34150</v>
      </c>
      <c r="T534" s="31">
        <f t="shared" si="49"/>
        <v>25612.5</v>
      </c>
    </row>
    <row r="535" spans="1:20" ht="31.5">
      <c r="A535" s="54">
        <f t="shared" si="50"/>
        <v>54</v>
      </c>
      <c r="B535" s="99" t="s">
        <v>26</v>
      </c>
      <c r="C535" s="82">
        <v>76.3</v>
      </c>
      <c r="D535" s="69">
        <v>39.3</v>
      </c>
      <c r="E535" s="34"/>
      <c r="F535" s="34"/>
      <c r="G535" s="34"/>
      <c r="H535" s="82">
        <v>76.3</v>
      </c>
      <c r="I535" s="81">
        <v>2605645</v>
      </c>
      <c r="J535" s="31">
        <f t="shared" si="47"/>
        <v>34150</v>
      </c>
      <c r="K535" s="34"/>
      <c r="L535" s="34"/>
      <c r="M535" s="34"/>
      <c r="N535" s="34"/>
      <c r="O535" s="34"/>
      <c r="P535" s="34"/>
      <c r="Q535" s="70">
        <f t="shared" si="48"/>
        <v>2605645</v>
      </c>
      <c r="R535" s="63">
        <v>0</v>
      </c>
      <c r="S535" s="31">
        <v>34150</v>
      </c>
      <c r="T535" s="31">
        <f t="shared" si="49"/>
        <v>25612.5</v>
      </c>
    </row>
    <row r="536" spans="1:20" ht="31.5">
      <c r="A536" s="54">
        <f t="shared" si="50"/>
        <v>55</v>
      </c>
      <c r="B536" s="99" t="s">
        <v>27</v>
      </c>
      <c r="C536" s="82">
        <v>36.2</v>
      </c>
      <c r="D536" s="69">
        <v>0</v>
      </c>
      <c r="E536" s="34"/>
      <c r="F536" s="34"/>
      <c r="G536" s="34"/>
      <c r="H536" s="82">
        <v>36.2</v>
      </c>
      <c r="I536" s="81">
        <v>1236230</v>
      </c>
      <c r="J536" s="31">
        <f t="shared" si="47"/>
        <v>34150</v>
      </c>
      <c r="K536" s="34"/>
      <c r="L536" s="34"/>
      <c r="M536" s="34"/>
      <c r="N536" s="34"/>
      <c r="O536" s="34"/>
      <c r="P536" s="34"/>
      <c r="Q536" s="70">
        <f t="shared" si="48"/>
        <v>1236230</v>
      </c>
      <c r="R536" s="63">
        <v>0</v>
      </c>
      <c r="S536" s="31">
        <v>34150</v>
      </c>
      <c r="T536" s="31">
        <f t="shared" si="49"/>
        <v>25612.5</v>
      </c>
    </row>
    <row r="537" spans="1:20" ht="31.5">
      <c r="A537" s="54">
        <f t="shared" si="50"/>
        <v>56</v>
      </c>
      <c r="B537" s="99" t="s">
        <v>28</v>
      </c>
      <c r="C537" s="82">
        <v>94.4</v>
      </c>
      <c r="D537" s="69">
        <v>30.3</v>
      </c>
      <c r="E537" s="34"/>
      <c r="F537" s="34"/>
      <c r="G537" s="34"/>
      <c r="H537" s="82">
        <v>94.4</v>
      </c>
      <c r="I537" s="81">
        <v>3223760</v>
      </c>
      <c r="J537" s="31">
        <f t="shared" si="47"/>
        <v>34150</v>
      </c>
      <c r="K537" s="34"/>
      <c r="L537" s="34"/>
      <c r="M537" s="34"/>
      <c r="N537" s="34"/>
      <c r="O537" s="34"/>
      <c r="P537" s="34"/>
      <c r="Q537" s="70">
        <f t="shared" si="48"/>
        <v>3223760</v>
      </c>
      <c r="R537" s="63">
        <v>0</v>
      </c>
      <c r="S537" s="31">
        <v>34150</v>
      </c>
      <c r="T537" s="31">
        <f t="shared" si="49"/>
        <v>25612.5</v>
      </c>
    </row>
    <row r="538" spans="1:20" ht="31.5">
      <c r="A538" s="54">
        <f t="shared" si="50"/>
        <v>57</v>
      </c>
      <c r="B538" s="100" t="s">
        <v>29</v>
      </c>
      <c r="C538" s="82">
        <v>33.2</v>
      </c>
      <c r="D538" s="69">
        <v>0</v>
      </c>
      <c r="E538" s="34"/>
      <c r="F538" s="34"/>
      <c r="G538" s="34"/>
      <c r="H538" s="82">
        <v>33.2</v>
      </c>
      <c r="I538" s="81">
        <v>1133780</v>
      </c>
      <c r="J538" s="31">
        <f t="shared" si="47"/>
        <v>34150</v>
      </c>
      <c r="K538" s="34"/>
      <c r="L538" s="34"/>
      <c r="M538" s="34"/>
      <c r="N538" s="34"/>
      <c r="O538" s="34"/>
      <c r="P538" s="34"/>
      <c r="Q538" s="70">
        <f t="shared" si="48"/>
        <v>1133780</v>
      </c>
      <c r="R538" s="63">
        <v>0</v>
      </c>
      <c r="S538" s="31">
        <v>34150</v>
      </c>
      <c r="T538" s="31">
        <f t="shared" si="49"/>
        <v>25612.5</v>
      </c>
    </row>
    <row r="539" spans="1:20" ht="31.5">
      <c r="A539" s="54">
        <f t="shared" si="50"/>
        <v>58</v>
      </c>
      <c r="B539" s="100" t="s">
        <v>30</v>
      </c>
      <c r="C539" s="82">
        <v>157.9</v>
      </c>
      <c r="D539" s="69">
        <v>0</v>
      </c>
      <c r="E539" s="34"/>
      <c r="F539" s="34"/>
      <c r="G539" s="34"/>
      <c r="H539" s="82">
        <v>157.9</v>
      </c>
      <c r="I539" s="81">
        <v>5392285</v>
      </c>
      <c r="J539" s="31">
        <f t="shared" si="47"/>
        <v>34150</v>
      </c>
      <c r="K539" s="34"/>
      <c r="L539" s="34"/>
      <c r="M539" s="34"/>
      <c r="N539" s="34"/>
      <c r="O539" s="34"/>
      <c r="P539" s="34"/>
      <c r="Q539" s="70">
        <f t="shared" si="48"/>
        <v>5392285</v>
      </c>
      <c r="R539" s="63">
        <v>0</v>
      </c>
      <c r="S539" s="31">
        <v>34150</v>
      </c>
      <c r="T539" s="31">
        <f t="shared" si="49"/>
        <v>25612.5</v>
      </c>
    </row>
    <row r="540" spans="1:20" ht="31.5">
      <c r="A540" s="54">
        <f t="shared" si="50"/>
        <v>59</v>
      </c>
      <c r="B540" s="100" t="s">
        <v>31</v>
      </c>
      <c r="C540" s="82">
        <v>97.7</v>
      </c>
      <c r="D540" s="69">
        <v>35.3</v>
      </c>
      <c r="E540" s="34"/>
      <c r="F540" s="34"/>
      <c r="G540" s="34"/>
      <c r="H540" s="82">
        <v>97.7</v>
      </c>
      <c r="I540" s="81">
        <v>3336455</v>
      </c>
      <c r="J540" s="31">
        <f t="shared" si="47"/>
        <v>34150</v>
      </c>
      <c r="K540" s="34"/>
      <c r="L540" s="34"/>
      <c r="M540" s="34"/>
      <c r="N540" s="34"/>
      <c r="O540" s="34"/>
      <c r="P540" s="34"/>
      <c r="Q540" s="70">
        <f t="shared" si="48"/>
        <v>3336455</v>
      </c>
      <c r="R540" s="63">
        <v>0</v>
      </c>
      <c r="S540" s="31">
        <v>34150</v>
      </c>
      <c r="T540" s="31">
        <f t="shared" si="49"/>
        <v>25612.5</v>
      </c>
    </row>
    <row r="541" spans="1:20" ht="31.5">
      <c r="A541" s="54">
        <f t="shared" si="50"/>
        <v>60</v>
      </c>
      <c r="B541" s="100" t="s">
        <v>32</v>
      </c>
      <c r="C541" s="82">
        <v>55.2</v>
      </c>
      <c r="D541" s="69">
        <v>55.2</v>
      </c>
      <c r="E541" s="34"/>
      <c r="F541" s="34"/>
      <c r="G541" s="34"/>
      <c r="H541" s="82">
        <v>55.2</v>
      </c>
      <c r="I541" s="81">
        <v>1885080</v>
      </c>
      <c r="J541" s="31">
        <f t="shared" si="47"/>
        <v>34150</v>
      </c>
      <c r="K541" s="34"/>
      <c r="L541" s="34"/>
      <c r="M541" s="34"/>
      <c r="N541" s="34"/>
      <c r="O541" s="34"/>
      <c r="P541" s="34"/>
      <c r="Q541" s="70">
        <f t="shared" si="48"/>
        <v>1885080</v>
      </c>
      <c r="R541" s="63">
        <v>0</v>
      </c>
      <c r="S541" s="31">
        <v>34150</v>
      </c>
      <c r="T541" s="31">
        <f t="shared" si="49"/>
        <v>25612.5</v>
      </c>
    </row>
    <row r="542" spans="1:20" ht="31.5">
      <c r="A542" s="54">
        <f t="shared" si="50"/>
        <v>61</v>
      </c>
      <c r="B542" s="100" t="s">
        <v>33</v>
      </c>
      <c r="C542" s="82">
        <v>67.8</v>
      </c>
      <c r="D542" s="69">
        <v>21.6</v>
      </c>
      <c r="E542" s="34"/>
      <c r="F542" s="34"/>
      <c r="G542" s="34"/>
      <c r="H542" s="82">
        <v>67.8</v>
      </c>
      <c r="I542" s="81">
        <v>2315370</v>
      </c>
      <c r="J542" s="31">
        <f t="shared" si="47"/>
        <v>34150</v>
      </c>
      <c r="K542" s="34"/>
      <c r="L542" s="34"/>
      <c r="M542" s="34"/>
      <c r="N542" s="34"/>
      <c r="O542" s="34"/>
      <c r="P542" s="34"/>
      <c r="Q542" s="70">
        <f t="shared" si="48"/>
        <v>2315370</v>
      </c>
      <c r="R542" s="63">
        <v>0</v>
      </c>
      <c r="S542" s="31">
        <v>34150</v>
      </c>
      <c r="T542" s="31">
        <f t="shared" si="49"/>
        <v>25612.5</v>
      </c>
    </row>
    <row r="543" spans="1:20" ht="31.5">
      <c r="A543" s="54">
        <f t="shared" si="50"/>
        <v>62</v>
      </c>
      <c r="B543" s="100" t="s">
        <v>34</v>
      </c>
      <c r="C543" s="82">
        <v>116.2</v>
      </c>
      <c r="D543" s="69">
        <v>0</v>
      </c>
      <c r="E543" s="34"/>
      <c r="F543" s="34"/>
      <c r="G543" s="34"/>
      <c r="H543" s="82">
        <v>116.2</v>
      </c>
      <c r="I543" s="81">
        <v>3968230</v>
      </c>
      <c r="J543" s="31">
        <f t="shared" si="47"/>
        <v>34150</v>
      </c>
      <c r="K543" s="34"/>
      <c r="L543" s="34"/>
      <c r="M543" s="34"/>
      <c r="N543" s="34"/>
      <c r="O543" s="34"/>
      <c r="P543" s="34"/>
      <c r="Q543" s="70">
        <f t="shared" si="48"/>
        <v>3968230</v>
      </c>
      <c r="R543" s="63">
        <v>0</v>
      </c>
      <c r="S543" s="31">
        <v>34150</v>
      </c>
      <c r="T543" s="31">
        <f t="shared" si="49"/>
        <v>25612.5</v>
      </c>
    </row>
    <row r="544" spans="1:20" ht="31.5">
      <c r="A544" s="54">
        <f t="shared" si="50"/>
        <v>63</v>
      </c>
      <c r="B544" s="100" t="s">
        <v>35</v>
      </c>
      <c r="C544" s="82">
        <v>62.5</v>
      </c>
      <c r="D544" s="69">
        <v>0</v>
      </c>
      <c r="E544" s="34"/>
      <c r="F544" s="34"/>
      <c r="G544" s="34"/>
      <c r="H544" s="82">
        <v>62.5</v>
      </c>
      <c r="I544" s="81">
        <v>2134375</v>
      </c>
      <c r="J544" s="31">
        <f t="shared" si="47"/>
        <v>34150</v>
      </c>
      <c r="K544" s="34"/>
      <c r="L544" s="34"/>
      <c r="M544" s="34"/>
      <c r="N544" s="34"/>
      <c r="O544" s="34"/>
      <c r="P544" s="34"/>
      <c r="Q544" s="70">
        <f t="shared" si="48"/>
        <v>2134375</v>
      </c>
      <c r="R544" s="63">
        <v>0</v>
      </c>
      <c r="S544" s="31">
        <v>34150</v>
      </c>
      <c r="T544" s="31">
        <f t="shared" si="49"/>
        <v>25612.5</v>
      </c>
    </row>
    <row r="545" spans="1:20" ht="31.5">
      <c r="A545" s="54">
        <f t="shared" si="50"/>
        <v>64</v>
      </c>
      <c r="B545" s="100" t="s">
        <v>36</v>
      </c>
      <c r="C545" s="82">
        <v>67</v>
      </c>
      <c r="D545" s="69">
        <v>0</v>
      </c>
      <c r="E545" s="34"/>
      <c r="F545" s="34"/>
      <c r="G545" s="34"/>
      <c r="H545" s="82">
        <v>67</v>
      </c>
      <c r="I545" s="81">
        <v>2288050</v>
      </c>
      <c r="J545" s="31">
        <f t="shared" si="47"/>
        <v>34150</v>
      </c>
      <c r="K545" s="34"/>
      <c r="L545" s="34"/>
      <c r="M545" s="34"/>
      <c r="N545" s="34"/>
      <c r="O545" s="34"/>
      <c r="P545" s="34"/>
      <c r="Q545" s="70">
        <f t="shared" si="48"/>
        <v>2288050</v>
      </c>
      <c r="R545" s="63">
        <v>0</v>
      </c>
      <c r="S545" s="31">
        <v>34150</v>
      </c>
      <c r="T545" s="31">
        <f t="shared" si="49"/>
        <v>25612.5</v>
      </c>
    </row>
    <row r="546" spans="1:20" ht="31.5">
      <c r="A546" s="54">
        <f t="shared" si="50"/>
        <v>65</v>
      </c>
      <c r="B546" s="100" t="s">
        <v>37</v>
      </c>
      <c r="C546" s="82">
        <v>32.4</v>
      </c>
      <c r="D546" s="69">
        <v>0</v>
      </c>
      <c r="E546" s="34"/>
      <c r="F546" s="34"/>
      <c r="G546" s="34"/>
      <c r="H546" s="82">
        <v>32.4</v>
      </c>
      <c r="I546" s="81">
        <v>1106460</v>
      </c>
      <c r="J546" s="31">
        <f t="shared" si="47"/>
        <v>34150</v>
      </c>
      <c r="K546" s="34"/>
      <c r="L546" s="34"/>
      <c r="M546" s="34"/>
      <c r="N546" s="34"/>
      <c r="O546" s="34"/>
      <c r="P546" s="34"/>
      <c r="Q546" s="70">
        <f t="shared" si="48"/>
        <v>1106460</v>
      </c>
      <c r="R546" s="63">
        <v>0</v>
      </c>
      <c r="S546" s="31">
        <v>34150</v>
      </c>
      <c r="T546" s="31">
        <f t="shared" si="49"/>
        <v>25612.5</v>
      </c>
    </row>
    <row r="547" spans="1:20" ht="31.5">
      <c r="A547" s="54">
        <f t="shared" si="50"/>
        <v>66</v>
      </c>
      <c r="B547" s="100" t="s">
        <v>38</v>
      </c>
      <c r="C547" s="82">
        <v>47.6</v>
      </c>
      <c r="D547" s="69">
        <v>0</v>
      </c>
      <c r="E547" s="34"/>
      <c r="F547" s="34"/>
      <c r="G547" s="34"/>
      <c r="H547" s="82">
        <v>47.6</v>
      </c>
      <c r="I547" s="81">
        <v>1625540</v>
      </c>
      <c r="J547" s="31">
        <f t="shared" si="47"/>
        <v>34150</v>
      </c>
      <c r="K547" s="34"/>
      <c r="L547" s="34"/>
      <c r="M547" s="34"/>
      <c r="N547" s="34"/>
      <c r="O547" s="34"/>
      <c r="P547" s="34"/>
      <c r="Q547" s="70">
        <f t="shared" si="48"/>
        <v>1625540</v>
      </c>
      <c r="R547" s="63">
        <v>0</v>
      </c>
      <c r="S547" s="31">
        <v>34150</v>
      </c>
      <c r="T547" s="31">
        <f t="shared" si="49"/>
        <v>25612.5</v>
      </c>
    </row>
    <row r="548" spans="1:20" ht="31.5">
      <c r="A548" s="54">
        <f t="shared" si="50"/>
        <v>67</v>
      </c>
      <c r="B548" s="100" t="s">
        <v>39</v>
      </c>
      <c r="C548" s="82">
        <v>39.8</v>
      </c>
      <c r="D548" s="69">
        <v>0</v>
      </c>
      <c r="E548" s="34"/>
      <c r="F548" s="34"/>
      <c r="G548" s="34"/>
      <c r="H548" s="82">
        <v>39.8</v>
      </c>
      <c r="I548" s="81">
        <v>1359170</v>
      </c>
      <c r="J548" s="31">
        <f t="shared" si="47"/>
        <v>34150</v>
      </c>
      <c r="K548" s="34"/>
      <c r="L548" s="34"/>
      <c r="M548" s="34"/>
      <c r="N548" s="34"/>
      <c r="O548" s="34"/>
      <c r="P548" s="34"/>
      <c r="Q548" s="70">
        <f t="shared" si="48"/>
        <v>1359170</v>
      </c>
      <c r="R548" s="63">
        <v>0</v>
      </c>
      <c r="S548" s="31">
        <v>34150</v>
      </c>
      <c r="T548" s="31">
        <f t="shared" si="49"/>
        <v>25612.5</v>
      </c>
    </row>
    <row r="549" spans="1:20" ht="31.5">
      <c r="A549" s="54">
        <f t="shared" si="50"/>
        <v>68</v>
      </c>
      <c r="B549" s="100" t="s">
        <v>40</v>
      </c>
      <c r="C549" s="82">
        <v>37.8</v>
      </c>
      <c r="D549" s="69">
        <v>37.8</v>
      </c>
      <c r="E549" s="111"/>
      <c r="F549" s="112"/>
      <c r="G549" s="109"/>
      <c r="H549" s="82">
        <v>37.8</v>
      </c>
      <c r="I549" s="81">
        <v>1290870</v>
      </c>
      <c r="J549" s="31">
        <f t="shared" si="47"/>
        <v>34150</v>
      </c>
      <c r="K549" s="109"/>
      <c r="L549" s="109"/>
      <c r="M549" s="109"/>
      <c r="N549" s="109"/>
      <c r="O549" s="109"/>
      <c r="P549" s="109"/>
      <c r="Q549" s="70">
        <f t="shared" si="48"/>
        <v>1290870</v>
      </c>
      <c r="R549" s="63">
        <v>0</v>
      </c>
      <c r="S549" s="31">
        <v>34150</v>
      </c>
      <c r="T549" s="31">
        <f t="shared" si="49"/>
        <v>25612.5</v>
      </c>
    </row>
    <row r="550" spans="1:20" ht="31.5">
      <c r="A550" s="54">
        <f t="shared" si="50"/>
        <v>69</v>
      </c>
      <c r="B550" s="100" t="s">
        <v>41</v>
      </c>
      <c r="C550" s="82">
        <v>43</v>
      </c>
      <c r="D550" s="69">
        <v>0</v>
      </c>
      <c r="E550" s="50"/>
      <c r="F550" s="109"/>
      <c r="G550" s="109"/>
      <c r="H550" s="82">
        <v>43</v>
      </c>
      <c r="I550" s="81">
        <v>1468450</v>
      </c>
      <c r="J550" s="31">
        <f t="shared" si="47"/>
        <v>34150</v>
      </c>
      <c r="K550" s="109"/>
      <c r="L550" s="109"/>
      <c r="M550" s="109"/>
      <c r="N550" s="109"/>
      <c r="O550" s="109"/>
      <c r="P550" s="109"/>
      <c r="Q550" s="70">
        <f t="shared" si="48"/>
        <v>1468450</v>
      </c>
      <c r="R550" s="63">
        <v>0</v>
      </c>
      <c r="S550" s="31">
        <v>34150</v>
      </c>
      <c r="T550" s="31">
        <f t="shared" si="49"/>
        <v>25612.5</v>
      </c>
    </row>
    <row r="551" spans="1:20" ht="31.5">
      <c r="A551" s="54">
        <f t="shared" si="50"/>
        <v>70</v>
      </c>
      <c r="B551" s="100" t="s">
        <v>42</v>
      </c>
      <c r="C551" s="82">
        <v>93.9</v>
      </c>
      <c r="D551" s="69">
        <v>61.2</v>
      </c>
      <c r="E551" s="34"/>
      <c r="F551" s="109"/>
      <c r="G551" s="109"/>
      <c r="H551" s="82">
        <v>93.9</v>
      </c>
      <c r="I551" s="81">
        <v>3206685</v>
      </c>
      <c r="J551" s="31">
        <f t="shared" si="47"/>
        <v>34150</v>
      </c>
      <c r="K551" s="109"/>
      <c r="L551" s="109"/>
      <c r="M551" s="109"/>
      <c r="N551" s="109"/>
      <c r="O551" s="109"/>
      <c r="P551" s="109"/>
      <c r="Q551" s="70">
        <f t="shared" si="48"/>
        <v>3206685</v>
      </c>
      <c r="R551" s="63">
        <v>0</v>
      </c>
      <c r="S551" s="31">
        <v>34150</v>
      </c>
      <c r="T551" s="31">
        <f t="shared" si="49"/>
        <v>25612.5</v>
      </c>
    </row>
    <row r="552" spans="1:20" ht="31.5">
      <c r="A552" s="54">
        <f t="shared" si="50"/>
        <v>71</v>
      </c>
      <c r="B552" s="100" t="s">
        <v>43</v>
      </c>
      <c r="C552" s="82">
        <v>101.7</v>
      </c>
      <c r="D552" s="69">
        <v>71</v>
      </c>
      <c r="E552" s="34"/>
      <c r="F552" s="109"/>
      <c r="G552" s="109"/>
      <c r="H552" s="82">
        <v>101.7</v>
      </c>
      <c r="I552" s="81">
        <v>3473055</v>
      </c>
      <c r="J552" s="31">
        <f t="shared" si="47"/>
        <v>34150</v>
      </c>
      <c r="K552" s="109"/>
      <c r="L552" s="109"/>
      <c r="M552" s="109"/>
      <c r="N552" s="109"/>
      <c r="O552" s="109"/>
      <c r="P552" s="109"/>
      <c r="Q552" s="70">
        <f t="shared" si="48"/>
        <v>3473055</v>
      </c>
      <c r="R552" s="63">
        <v>0</v>
      </c>
      <c r="S552" s="31">
        <v>34150</v>
      </c>
      <c r="T552" s="31">
        <f t="shared" si="49"/>
        <v>25612.5</v>
      </c>
    </row>
    <row r="553" spans="1:20" ht="15.75">
      <c r="A553" s="148" t="s">
        <v>141</v>
      </c>
      <c r="B553" s="148"/>
      <c r="C553" s="59">
        <v>1734.2</v>
      </c>
      <c r="D553" s="69">
        <v>493</v>
      </c>
      <c r="E553" s="34"/>
      <c r="F553" s="109"/>
      <c r="G553" s="109"/>
      <c r="H553" s="59">
        <v>1734.2</v>
      </c>
      <c r="I553" s="83">
        <v>59222930</v>
      </c>
      <c r="J553" s="31">
        <f t="shared" si="47"/>
        <v>34150</v>
      </c>
      <c r="K553" s="109"/>
      <c r="L553" s="109"/>
      <c r="M553" s="109"/>
      <c r="N553" s="109"/>
      <c r="O553" s="109"/>
      <c r="P553" s="109"/>
      <c r="Q553" s="70">
        <f t="shared" si="48"/>
        <v>59222930</v>
      </c>
      <c r="R553" s="63">
        <v>0</v>
      </c>
      <c r="S553" s="31">
        <v>34150</v>
      </c>
      <c r="T553" s="31">
        <f t="shared" si="49"/>
        <v>25612.5</v>
      </c>
    </row>
    <row r="554" spans="1:20" ht="31.5">
      <c r="A554" s="43">
        <v>72</v>
      </c>
      <c r="B554" s="57" t="s">
        <v>44</v>
      </c>
      <c r="C554" s="59">
        <v>136.6</v>
      </c>
      <c r="D554" s="69">
        <v>98.3</v>
      </c>
      <c r="E554" s="34"/>
      <c r="F554" s="109"/>
      <c r="G554" s="109"/>
      <c r="H554" s="59">
        <v>136.6</v>
      </c>
      <c r="I554" s="83">
        <v>4664890</v>
      </c>
      <c r="J554" s="31">
        <f t="shared" si="47"/>
        <v>34150</v>
      </c>
      <c r="K554" s="109"/>
      <c r="L554" s="109"/>
      <c r="M554" s="109"/>
      <c r="N554" s="109"/>
      <c r="O554" s="109"/>
      <c r="P554" s="109"/>
      <c r="Q554" s="70">
        <f t="shared" si="48"/>
        <v>4664890</v>
      </c>
      <c r="R554" s="63">
        <v>0</v>
      </c>
      <c r="S554" s="31">
        <v>34150</v>
      </c>
      <c r="T554" s="31">
        <f t="shared" si="49"/>
        <v>25612.5</v>
      </c>
    </row>
    <row r="555" spans="1:20" ht="31.5">
      <c r="A555" s="43">
        <f>A554+1</f>
        <v>73</v>
      </c>
      <c r="B555" s="57" t="s">
        <v>45</v>
      </c>
      <c r="C555" s="59">
        <v>92.7</v>
      </c>
      <c r="D555" s="69">
        <v>28.4</v>
      </c>
      <c r="E555" s="34"/>
      <c r="F555" s="109"/>
      <c r="G555" s="109"/>
      <c r="H555" s="59">
        <v>92.7</v>
      </c>
      <c r="I555" s="83">
        <v>3165705</v>
      </c>
      <c r="J555" s="31">
        <f t="shared" si="47"/>
        <v>34150</v>
      </c>
      <c r="K555" s="109"/>
      <c r="L555" s="109"/>
      <c r="M555" s="109"/>
      <c r="N555" s="109"/>
      <c r="O555" s="109"/>
      <c r="P555" s="109"/>
      <c r="Q555" s="70">
        <f t="shared" si="48"/>
        <v>3165705</v>
      </c>
      <c r="R555" s="63">
        <v>0</v>
      </c>
      <c r="S555" s="31">
        <v>34150</v>
      </c>
      <c r="T555" s="31">
        <f t="shared" si="49"/>
        <v>25612.5</v>
      </c>
    </row>
    <row r="556" spans="1:20" ht="31.5">
      <c r="A556" s="43">
        <f aca="true" t="shared" si="51" ref="A556:A565">A555+1</f>
        <v>74</v>
      </c>
      <c r="B556" s="57" t="s">
        <v>46</v>
      </c>
      <c r="C556" s="59">
        <v>83.4</v>
      </c>
      <c r="D556" s="69">
        <v>48.7</v>
      </c>
      <c r="E556" s="34"/>
      <c r="F556" s="109"/>
      <c r="G556" s="109"/>
      <c r="H556" s="59">
        <v>83.4</v>
      </c>
      <c r="I556" s="83">
        <v>2848110</v>
      </c>
      <c r="J556" s="31">
        <f t="shared" si="47"/>
        <v>34150</v>
      </c>
      <c r="K556" s="109"/>
      <c r="L556" s="109"/>
      <c r="M556" s="109"/>
      <c r="N556" s="109"/>
      <c r="O556" s="109"/>
      <c r="P556" s="109"/>
      <c r="Q556" s="70">
        <f t="shared" si="48"/>
        <v>2848110</v>
      </c>
      <c r="R556" s="63">
        <v>0</v>
      </c>
      <c r="S556" s="31">
        <v>34150</v>
      </c>
      <c r="T556" s="31">
        <f t="shared" si="49"/>
        <v>25612.5</v>
      </c>
    </row>
    <row r="557" spans="1:20" ht="47.25">
      <c r="A557" s="43">
        <f t="shared" si="51"/>
        <v>75</v>
      </c>
      <c r="B557" s="57" t="s">
        <v>47</v>
      </c>
      <c r="C557" s="59">
        <v>89.1</v>
      </c>
      <c r="D557" s="69">
        <v>0</v>
      </c>
      <c r="E557" s="34"/>
      <c r="F557" s="109"/>
      <c r="G557" s="109"/>
      <c r="H557" s="59">
        <v>89.1</v>
      </c>
      <c r="I557" s="83">
        <v>3042765</v>
      </c>
      <c r="J557" s="31">
        <f t="shared" si="47"/>
        <v>34150</v>
      </c>
      <c r="K557" s="109"/>
      <c r="L557" s="109"/>
      <c r="M557" s="109"/>
      <c r="N557" s="109"/>
      <c r="O557" s="109"/>
      <c r="P557" s="109"/>
      <c r="Q557" s="70">
        <f t="shared" si="48"/>
        <v>3042765</v>
      </c>
      <c r="R557" s="63">
        <v>0</v>
      </c>
      <c r="S557" s="31">
        <v>34150</v>
      </c>
      <c r="T557" s="31">
        <f t="shared" si="49"/>
        <v>25612.5</v>
      </c>
    </row>
    <row r="558" spans="1:20" ht="31.5">
      <c r="A558" s="43">
        <f t="shared" si="51"/>
        <v>76</v>
      </c>
      <c r="B558" s="94" t="s">
        <v>48</v>
      </c>
      <c r="C558" s="31">
        <v>69.3</v>
      </c>
      <c r="D558" s="69">
        <v>25.1</v>
      </c>
      <c r="E558" s="34"/>
      <c r="F558" s="109"/>
      <c r="G558" s="109"/>
      <c r="H558" s="31">
        <v>69.3</v>
      </c>
      <c r="I558" s="86">
        <v>2366595</v>
      </c>
      <c r="J558" s="31">
        <f t="shared" si="47"/>
        <v>34150</v>
      </c>
      <c r="K558" s="109"/>
      <c r="L558" s="109"/>
      <c r="M558" s="109"/>
      <c r="N558" s="109"/>
      <c r="O558" s="109"/>
      <c r="P558" s="109"/>
      <c r="Q558" s="70">
        <f t="shared" si="48"/>
        <v>2366595</v>
      </c>
      <c r="R558" s="63">
        <v>0</v>
      </c>
      <c r="S558" s="31">
        <v>34150</v>
      </c>
      <c r="T558" s="31">
        <f t="shared" si="49"/>
        <v>25612.5</v>
      </c>
    </row>
    <row r="559" spans="1:20" ht="31.5">
      <c r="A559" s="43">
        <f t="shared" si="51"/>
        <v>77</v>
      </c>
      <c r="B559" s="94" t="s">
        <v>49</v>
      </c>
      <c r="C559" s="31">
        <v>70.1</v>
      </c>
      <c r="D559" s="69">
        <v>30.3</v>
      </c>
      <c r="E559" s="34"/>
      <c r="F559" s="109"/>
      <c r="G559" s="109"/>
      <c r="H559" s="31">
        <v>70.1</v>
      </c>
      <c r="I559" s="86">
        <v>2393915</v>
      </c>
      <c r="J559" s="31">
        <f t="shared" si="47"/>
        <v>34150</v>
      </c>
      <c r="K559" s="109"/>
      <c r="L559" s="109"/>
      <c r="M559" s="109"/>
      <c r="N559" s="109"/>
      <c r="O559" s="109"/>
      <c r="P559" s="109"/>
      <c r="Q559" s="70">
        <f t="shared" si="48"/>
        <v>2393915</v>
      </c>
      <c r="R559" s="63">
        <v>0</v>
      </c>
      <c r="S559" s="31">
        <v>34150</v>
      </c>
      <c r="T559" s="31">
        <f t="shared" si="49"/>
        <v>25612.5</v>
      </c>
    </row>
    <row r="560" spans="1:20" ht="47.25">
      <c r="A560" s="43">
        <f t="shared" si="51"/>
        <v>78</v>
      </c>
      <c r="B560" s="57" t="s">
        <v>50</v>
      </c>
      <c r="C560" s="31">
        <v>53.7</v>
      </c>
      <c r="D560" s="69">
        <v>0</v>
      </c>
      <c r="E560" s="34"/>
      <c r="F560" s="109"/>
      <c r="G560" s="109"/>
      <c r="H560" s="31">
        <v>53.7</v>
      </c>
      <c r="I560" s="86">
        <v>1833855</v>
      </c>
      <c r="J560" s="31">
        <f t="shared" si="47"/>
        <v>34150</v>
      </c>
      <c r="K560" s="109"/>
      <c r="L560" s="109"/>
      <c r="M560" s="109"/>
      <c r="N560" s="109"/>
      <c r="O560" s="109"/>
      <c r="P560" s="109"/>
      <c r="Q560" s="70">
        <f t="shared" si="48"/>
        <v>1833855</v>
      </c>
      <c r="R560" s="63">
        <v>0</v>
      </c>
      <c r="S560" s="31">
        <v>34150</v>
      </c>
      <c r="T560" s="31">
        <f t="shared" si="49"/>
        <v>25612.5</v>
      </c>
    </row>
    <row r="561" spans="1:20" ht="31.5">
      <c r="A561" s="43">
        <f t="shared" si="51"/>
        <v>79</v>
      </c>
      <c r="B561" s="57" t="s">
        <v>51</v>
      </c>
      <c r="C561" s="59">
        <v>406.5</v>
      </c>
      <c r="D561" s="69">
        <v>54.4</v>
      </c>
      <c r="E561" s="34"/>
      <c r="F561" s="109"/>
      <c r="G561" s="109"/>
      <c r="H561" s="59">
        <v>406.5</v>
      </c>
      <c r="I561" s="83">
        <v>13881975</v>
      </c>
      <c r="J561" s="31">
        <f t="shared" si="47"/>
        <v>34150</v>
      </c>
      <c r="K561" s="109"/>
      <c r="L561" s="109"/>
      <c r="M561" s="109"/>
      <c r="N561" s="109"/>
      <c r="O561" s="109"/>
      <c r="P561" s="109"/>
      <c r="Q561" s="70">
        <f t="shared" si="48"/>
        <v>13881975</v>
      </c>
      <c r="R561" s="63">
        <v>0</v>
      </c>
      <c r="S561" s="31">
        <v>34150</v>
      </c>
      <c r="T561" s="31">
        <f t="shared" si="49"/>
        <v>25612.5</v>
      </c>
    </row>
    <row r="562" spans="1:20" ht="31.5">
      <c r="A562" s="43">
        <f t="shared" si="51"/>
        <v>80</v>
      </c>
      <c r="B562" s="57" t="s">
        <v>52</v>
      </c>
      <c r="C562" s="59">
        <v>112.2</v>
      </c>
      <c r="D562" s="69">
        <v>85</v>
      </c>
      <c r="E562" s="55"/>
      <c r="F562" s="55"/>
      <c r="G562" s="55"/>
      <c r="H562" s="59">
        <v>112.2</v>
      </c>
      <c r="I562" s="83">
        <v>3831630</v>
      </c>
      <c r="J562" s="31">
        <f t="shared" si="47"/>
        <v>34150</v>
      </c>
      <c r="K562" s="55"/>
      <c r="L562" s="55"/>
      <c r="M562" s="55"/>
      <c r="N562" s="55"/>
      <c r="O562" s="55"/>
      <c r="P562" s="55"/>
      <c r="Q562" s="70">
        <f t="shared" si="48"/>
        <v>3831630</v>
      </c>
      <c r="R562" s="75">
        <v>0</v>
      </c>
      <c r="S562" s="31">
        <v>34150</v>
      </c>
      <c r="T562" s="31">
        <f t="shared" si="49"/>
        <v>25612.5</v>
      </c>
    </row>
    <row r="563" spans="1:20" ht="31.5">
      <c r="A563" s="43">
        <f t="shared" si="51"/>
        <v>81</v>
      </c>
      <c r="B563" s="94" t="s">
        <v>53</v>
      </c>
      <c r="C563" s="31">
        <v>160.3</v>
      </c>
      <c r="D563" s="69">
        <v>39.7</v>
      </c>
      <c r="E563" s="34"/>
      <c r="F563" s="34"/>
      <c r="G563" s="34"/>
      <c r="H563" s="31">
        <v>160.3</v>
      </c>
      <c r="I563" s="86">
        <v>5474245</v>
      </c>
      <c r="J563" s="31">
        <f t="shared" si="47"/>
        <v>34150</v>
      </c>
      <c r="K563" s="34"/>
      <c r="L563" s="34"/>
      <c r="M563" s="34"/>
      <c r="N563" s="34"/>
      <c r="O563" s="34"/>
      <c r="P563" s="34"/>
      <c r="Q563" s="70">
        <f t="shared" si="48"/>
        <v>5474245</v>
      </c>
      <c r="R563" s="63">
        <v>0</v>
      </c>
      <c r="S563" s="31">
        <v>34150</v>
      </c>
      <c r="T563" s="31">
        <f t="shared" si="49"/>
        <v>25612.5</v>
      </c>
    </row>
    <row r="564" spans="1:20" ht="31.5">
      <c r="A564" s="43">
        <f t="shared" si="51"/>
        <v>82</v>
      </c>
      <c r="B564" s="94" t="s">
        <v>54</v>
      </c>
      <c r="C564" s="31">
        <v>178.7</v>
      </c>
      <c r="D564" s="69">
        <v>83.1</v>
      </c>
      <c r="E564" s="34"/>
      <c r="F564" s="34"/>
      <c r="G564" s="34"/>
      <c r="H564" s="31">
        <v>178.7</v>
      </c>
      <c r="I564" s="86">
        <v>6102605</v>
      </c>
      <c r="J564" s="31">
        <f t="shared" si="47"/>
        <v>34150</v>
      </c>
      <c r="K564" s="34"/>
      <c r="L564" s="34"/>
      <c r="M564" s="34"/>
      <c r="N564" s="34"/>
      <c r="O564" s="34"/>
      <c r="P564" s="34"/>
      <c r="Q564" s="70">
        <f t="shared" si="48"/>
        <v>6102605</v>
      </c>
      <c r="R564" s="63">
        <v>0</v>
      </c>
      <c r="S564" s="31">
        <v>34150</v>
      </c>
      <c r="T564" s="31">
        <f t="shared" si="49"/>
        <v>25612.5</v>
      </c>
    </row>
    <row r="565" spans="1:20" ht="31.5">
      <c r="A565" s="43">
        <f t="shared" si="51"/>
        <v>83</v>
      </c>
      <c r="B565" s="94" t="s">
        <v>55</v>
      </c>
      <c r="C565" s="31">
        <v>281.6</v>
      </c>
      <c r="D565" s="69">
        <v>0</v>
      </c>
      <c r="E565" s="34"/>
      <c r="F565" s="34"/>
      <c r="G565" s="34"/>
      <c r="H565" s="31">
        <v>281.6</v>
      </c>
      <c r="I565" s="86">
        <v>9616640</v>
      </c>
      <c r="J565" s="31">
        <f t="shared" si="47"/>
        <v>34150</v>
      </c>
      <c r="K565" s="34"/>
      <c r="L565" s="34"/>
      <c r="M565" s="34"/>
      <c r="N565" s="34"/>
      <c r="O565" s="34"/>
      <c r="P565" s="34"/>
      <c r="Q565" s="70">
        <f t="shared" si="48"/>
        <v>9616640</v>
      </c>
      <c r="R565" s="63">
        <v>0</v>
      </c>
      <c r="S565" s="31">
        <v>34150</v>
      </c>
      <c r="T565" s="31">
        <f t="shared" si="49"/>
        <v>25612.5</v>
      </c>
    </row>
    <row r="566" spans="1:20" ht="15.75">
      <c r="A566" s="184" t="s">
        <v>56</v>
      </c>
      <c r="B566" s="184"/>
      <c r="C566" s="31">
        <v>1014.32</v>
      </c>
      <c r="D566" s="69">
        <v>1014.32</v>
      </c>
      <c r="E566" s="34"/>
      <c r="F566" s="34"/>
      <c r="G566" s="34"/>
      <c r="H566" s="31">
        <v>1014.32</v>
      </c>
      <c r="I566" s="63">
        <v>34639028</v>
      </c>
      <c r="J566" s="31">
        <f t="shared" si="47"/>
        <v>34150</v>
      </c>
      <c r="K566" s="34"/>
      <c r="L566" s="34"/>
      <c r="M566" s="34"/>
      <c r="N566" s="34"/>
      <c r="O566" s="34"/>
      <c r="P566" s="34"/>
      <c r="Q566" s="70">
        <f t="shared" si="48"/>
        <v>34639028</v>
      </c>
      <c r="R566" s="63">
        <v>0</v>
      </c>
      <c r="S566" s="31">
        <v>34150</v>
      </c>
      <c r="T566" s="31">
        <f t="shared" si="49"/>
        <v>25612.5</v>
      </c>
    </row>
    <row r="567" spans="1:20" ht="31.5">
      <c r="A567" s="10">
        <f>A565+1</f>
        <v>84</v>
      </c>
      <c r="B567" s="105" t="s">
        <v>57</v>
      </c>
      <c r="C567" s="31">
        <v>89</v>
      </c>
      <c r="D567" s="69">
        <v>89</v>
      </c>
      <c r="E567" s="34"/>
      <c r="F567" s="34"/>
      <c r="G567" s="34"/>
      <c r="H567" s="31">
        <v>89</v>
      </c>
      <c r="I567" s="63">
        <v>3039350</v>
      </c>
      <c r="J567" s="31">
        <f t="shared" si="47"/>
        <v>34150</v>
      </c>
      <c r="K567" s="34"/>
      <c r="L567" s="34"/>
      <c r="M567" s="34"/>
      <c r="N567" s="34"/>
      <c r="O567" s="34"/>
      <c r="P567" s="34"/>
      <c r="Q567" s="70">
        <f t="shared" si="48"/>
        <v>3039350</v>
      </c>
      <c r="R567" s="63">
        <v>0</v>
      </c>
      <c r="S567" s="31">
        <v>34150</v>
      </c>
      <c r="T567" s="31">
        <f t="shared" si="49"/>
        <v>25612.5</v>
      </c>
    </row>
    <row r="568" spans="1:20" ht="31.5">
      <c r="A568" s="10">
        <f>A567+1</f>
        <v>85</v>
      </c>
      <c r="B568" s="91" t="s">
        <v>58</v>
      </c>
      <c r="C568" s="31">
        <v>102.9</v>
      </c>
      <c r="D568" s="69">
        <v>102.9</v>
      </c>
      <c r="E568" s="34"/>
      <c r="F568" s="34"/>
      <c r="G568" s="34"/>
      <c r="H568" s="31">
        <v>102.9</v>
      </c>
      <c r="I568" s="63">
        <v>3514035</v>
      </c>
      <c r="J568" s="31">
        <f t="shared" si="47"/>
        <v>34150</v>
      </c>
      <c r="K568" s="34"/>
      <c r="L568" s="34"/>
      <c r="M568" s="34"/>
      <c r="N568" s="34"/>
      <c r="O568" s="34"/>
      <c r="P568" s="34"/>
      <c r="Q568" s="70">
        <f t="shared" si="48"/>
        <v>3514035</v>
      </c>
      <c r="R568" s="63">
        <v>0</v>
      </c>
      <c r="S568" s="31">
        <v>34150</v>
      </c>
      <c r="T568" s="31">
        <f t="shared" si="49"/>
        <v>25612.5</v>
      </c>
    </row>
    <row r="569" spans="1:20" ht="31.5">
      <c r="A569" s="10">
        <f aca="true" t="shared" si="52" ref="A569:A580">A568+1</f>
        <v>86</v>
      </c>
      <c r="B569" s="91" t="s">
        <v>59</v>
      </c>
      <c r="C569" s="31">
        <v>114.92</v>
      </c>
      <c r="D569" s="69">
        <v>114.92</v>
      </c>
      <c r="E569" s="34"/>
      <c r="F569" s="34"/>
      <c r="G569" s="34"/>
      <c r="H569" s="31">
        <v>114.92</v>
      </c>
      <c r="I569" s="63">
        <v>3924518</v>
      </c>
      <c r="J569" s="31">
        <f t="shared" si="47"/>
        <v>34150</v>
      </c>
      <c r="K569" s="34"/>
      <c r="L569" s="34"/>
      <c r="M569" s="34"/>
      <c r="N569" s="34"/>
      <c r="O569" s="34"/>
      <c r="P569" s="34"/>
      <c r="Q569" s="70">
        <f t="shared" si="48"/>
        <v>3924518</v>
      </c>
      <c r="R569" s="63">
        <v>0</v>
      </c>
      <c r="S569" s="31">
        <v>34150</v>
      </c>
      <c r="T569" s="31">
        <f t="shared" si="49"/>
        <v>25612.5</v>
      </c>
    </row>
    <row r="570" spans="1:20" ht="31.5">
      <c r="A570" s="10">
        <f t="shared" si="52"/>
        <v>87</v>
      </c>
      <c r="B570" s="91" t="s">
        <v>60</v>
      </c>
      <c r="C570" s="31">
        <v>72</v>
      </c>
      <c r="D570" s="69">
        <v>72</v>
      </c>
      <c r="E570" s="34"/>
      <c r="F570" s="34"/>
      <c r="G570" s="34"/>
      <c r="H570" s="31">
        <v>72</v>
      </c>
      <c r="I570" s="63">
        <v>2458800</v>
      </c>
      <c r="J570" s="31">
        <f t="shared" si="47"/>
        <v>34150</v>
      </c>
      <c r="K570" s="34"/>
      <c r="L570" s="34"/>
      <c r="M570" s="34"/>
      <c r="N570" s="34"/>
      <c r="O570" s="34"/>
      <c r="P570" s="34"/>
      <c r="Q570" s="70">
        <f t="shared" si="48"/>
        <v>2458800</v>
      </c>
      <c r="R570" s="63">
        <v>0</v>
      </c>
      <c r="S570" s="31">
        <v>34150</v>
      </c>
      <c r="T570" s="31">
        <f t="shared" si="49"/>
        <v>25612.5</v>
      </c>
    </row>
    <row r="571" spans="1:20" ht="31.5">
      <c r="A571" s="10">
        <f t="shared" si="52"/>
        <v>88</v>
      </c>
      <c r="B571" s="91" t="s">
        <v>61</v>
      </c>
      <c r="C571" s="31">
        <v>108.8</v>
      </c>
      <c r="D571" s="69">
        <v>108.8</v>
      </c>
      <c r="E571" s="34"/>
      <c r="F571" s="34"/>
      <c r="G571" s="34"/>
      <c r="H571" s="31">
        <v>108.8</v>
      </c>
      <c r="I571" s="63">
        <v>3715520</v>
      </c>
      <c r="J571" s="31">
        <f t="shared" si="47"/>
        <v>34150</v>
      </c>
      <c r="K571" s="34"/>
      <c r="L571" s="34"/>
      <c r="M571" s="34"/>
      <c r="N571" s="34"/>
      <c r="O571" s="34"/>
      <c r="P571" s="34"/>
      <c r="Q571" s="70">
        <f t="shared" si="48"/>
        <v>3715520</v>
      </c>
      <c r="R571" s="63">
        <v>0</v>
      </c>
      <c r="S571" s="31">
        <v>34150</v>
      </c>
      <c r="T571" s="31">
        <f t="shared" si="49"/>
        <v>25612.5</v>
      </c>
    </row>
    <row r="572" spans="1:20" ht="31.5">
      <c r="A572" s="10">
        <f t="shared" si="52"/>
        <v>89</v>
      </c>
      <c r="B572" s="91" t="s">
        <v>62</v>
      </c>
      <c r="C572" s="31">
        <v>54.9</v>
      </c>
      <c r="D572" s="69">
        <v>54.9</v>
      </c>
      <c r="E572" s="34"/>
      <c r="F572" s="34"/>
      <c r="G572" s="34"/>
      <c r="H572" s="31">
        <v>54.9</v>
      </c>
      <c r="I572" s="63">
        <v>1874835</v>
      </c>
      <c r="J572" s="31">
        <f t="shared" si="47"/>
        <v>34150</v>
      </c>
      <c r="K572" s="34"/>
      <c r="L572" s="34"/>
      <c r="M572" s="34"/>
      <c r="N572" s="34"/>
      <c r="O572" s="34"/>
      <c r="P572" s="34"/>
      <c r="Q572" s="70">
        <f t="shared" si="48"/>
        <v>1874835</v>
      </c>
      <c r="R572" s="63">
        <v>0</v>
      </c>
      <c r="S572" s="31">
        <v>34150</v>
      </c>
      <c r="T572" s="31">
        <f t="shared" si="49"/>
        <v>25612.5</v>
      </c>
    </row>
    <row r="573" spans="1:20" ht="31.5">
      <c r="A573" s="10">
        <f t="shared" si="52"/>
        <v>90</v>
      </c>
      <c r="B573" s="91" t="s">
        <v>63</v>
      </c>
      <c r="C573" s="31">
        <v>74.4</v>
      </c>
      <c r="D573" s="69">
        <v>74.4</v>
      </c>
      <c r="E573" s="34"/>
      <c r="F573" s="34"/>
      <c r="G573" s="34"/>
      <c r="H573" s="31">
        <v>74.4</v>
      </c>
      <c r="I573" s="63">
        <v>2540760</v>
      </c>
      <c r="J573" s="31">
        <f t="shared" si="47"/>
        <v>34150</v>
      </c>
      <c r="K573" s="34"/>
      <c r="L573" s="34"/>
      <c r="M573" s="34"/>
      <c r="N573" s="34"/>
      <c r="O573" s="34"/>
      <c r="P573" s="34"/>
      <c r="Q573" s="70">
        <f t="shared" si="48"/>
        <v>2540760</v>
      </c>
      <c r="R573" s="63">
        <v>0</v>
      </c>
      <c r="S573" s="31">
        <v>34150</v>
      </c>
      <c r="T573" s="31">
        <f t="shared" si="49"/>
        <v>25612.5</v>
      </c>
    </row>
    <row r="574" spans="1:20" ht="31.5">
      <c r="A574" s="10">
        <f t="shared" si="52"/>
        <v>91</v>
      </c>
      <c r="B574" s="91" t="s">
        <v>64</v>
      </c>
      <c r="C574" s="31">
        <v>20.7</v>
      </c>
      <c r="D574" s="69">
        <v>20.7</v>
      </c>
      <c r="E574" s="34"/>
      <c r="F574" s="34"/>
      <c r="G574" s="34"/>
      <c r="H574" s="31">
        <v>20.7</v>
      </c>
      <c r="I574" s="63">
        <v>706905</v>
      </c>
      <c r="J574" s="31">
        <f t="shared" si="47"/>
        <v>34150</v>
      </c>
      <c r="K574" s="34"/>
      <c r="L574" s="34"/>
      <c r="M574" s="34"/>
      <c r="N574" s="34"/>
      <c r="O574" s="34"/>
      <c r="P574" s="34"/>
      <c r="Q574" s="70">
        <f t="shared" si="48"/>
        <v>706905</v>
      </c>
      <c r="R574" s="63">
        <v>0</v>
      </c>
      <c r="S574" s="31">
        <v>34150</v>
      </c>
      <c r="T574" s="31">
        <f t="shared" si="49"/>
        <v>25612.5</v>
      </c>
    </row>
    <row r="575" spans="1:20" ht="31.5">
      <c r="A575" s="10">
        <f t="shared" si="52"/>
        <v>92</v>
      </c>
      <c r="B575" s="91" t="s">
        <v>65</v>
      </c>
      <c r="C575" s="31">
        <v>47.2</v>
      </c>
      <c r="D575" s="69">
        <v>47.2</v>
      </c>
      <c r="E575" s="34"/>
      <c r="F575" s="34"/>
      <c r="G575" s="34"/>
      <c r="H575" s="31">
        <v>47.2</v>
      </c>
      <c r="I575" s="63">
        <v>1611880</v>
      </c>
      <c r="J575" s="31">
        <f t="shared" si="47"/>
        <v>34150</v>
      </c>
      <c r="K575" s="34"/>
      <c r="L575" s="34"/>
      <c r="M575" s="34"/>
      <c r="N575" s="34"/>
      <c r="O575" s="34"/>
      <c r="P575" s="34"/>
      <c r="Q575" s="70">
        <f t="shared" si="48"/>
        <v>1611880</v>
      </c>
      <c r="R575" s="63">
        <v>0</v>
      </c>
      <c r="S575" s="31">
        <v>34150</v>
      </c>
      <c r="T575" s="31">
        <f t="shared" si="49"/>
        <v>25612.5</v>
      </c>
    </row>
    <row r="576" spans="1:20" ht="31.5">
      <c r="A576" s="10">
        <f t="shared" si="52"/>
        <v>93</v>
      </c>
      <c r="B576" s="91" t="s">
        <v>66</v>
      </c>
      <c r="C576" s="31">
        <v>20.7</v>
      </c>
      <c r="D576" s="69">
        <v>20.7</v>
      </c>
      <c r="E576" s="34"/>
      <c r="F576" s="34"/>
      <c r="G576" s="34"/>
      <c r="H576" s="31">
        <v>20.7</v>
      </c>
      <c r="I576" s="63">
        <v>706905</v>
      </c>
      <c r="J576" s="31">
        <f t="shared" si="47"/>
        <v>34150</v>
      </c>
      <c r="K576" s="34"/>
      <c r="L576" s="34"/>
      <c r="M576" s="34"/>
      <c r="N576" s="34"/>
      <c r="O576" s="34"/>
      <c r="P576" s="34"/>
      <c r="Q576" s="70">
        <f t="shared" si="48"/>
        <v>706905</v>
      </c>
      <c r="R576" s="63">
        <v>0</v>
      </c>
      <c r="S576" s="31">
        <v>34150</v>
      </c>
      <c r="T576" s="31">
        <f t="shared" si="49"/>
        <v>25612.5</v>
      </c>
    </row>
    <row r="577" spans="1:20" ht="31.5">
      <c r="A577" s="10">
        <f t="shared" si="52"/>
        <v>94</v>
      </c>
      <c r="B577" s="91" t="s">
        <v>67</v>
      </c>
      <c r="C577" s="31">
        <v>110.8</v>
      </c>
      <c r="D577" s="69">
        <v>110.8</v>
      </c>
      <c r="E577" s="25"/>
      <c r="F577" s="28"/>
      <c r="G577" s="28"/>
      <c r="H577" s="31">
        <v>110.8</v>
      </c>
      <c r="I577" s="63">
        <v>3783820</v>
      </c>
      <c r="J577" s="31">
        <f t="shared" si="47"/>
        <v>34150</v>
      </c>
      <c r="K577" s="25"/>
      <c r="L577" s="25"/>
      <c r="M577" s="25"/>
      <c r="N577" s="25"/>
      <c r="O577" s="25"/>
      <c r="P577" s="25"/>
      <c r="Q577" s="70">
        <f t="shared" si="48"/>
        <v>3783820</v>
      </c>
      <c r="R577" s="24">
        <v>0</v>
      </c>
      <c r="S577" s="31">
        <v>34150</v>
      </c>
      <c r="T577" s="31">
        <f t="shared" si="49"/>
        <v>25612.5</v>
      </c>
    </row>
    <row r="578" spans="1:20" ht="31.5">
      <c r="A578" s="10">
        <f t="shared" si="52"/>
        <v>95</v>
      </c>
      <c r="B578" s="91" t="s">
        <v>68</v>
      </c>
      <c r="C578" s="31">
        <v>79.2</v>
      </c>
      <c r="D578" s="69">
        <v>79.2</v>
      </c>
      <c r="E578" s="85"/>
      <c r="F578" s="110"/>
      <c r="G578" s="110"/>
      <c r="H578" s="31">
        <v>79.2</v>
      </c>
      <c r="I578" s="63">
        <v>2704680</v>
      </c>
      <c r="J578" s="31">
        <f t="shared" si="47"/>
        <v>34150</v>
      </c>
      <c r="K578" s="85"/>
      <c r="L578" s="85"/>
      <c r="M578" s="85"/>
      <c r="N578" s="85"/>
      <c r="O578" s="85"/>
      <c r="P578" s="85"/>
      <c r="Q578" s="70">
        <f t="shared" si="48"/>
        <v>2704680</v>
      </c>
      <c r="R578" s="78">
        <v>0</v>
      </c>
      <c r="S578" s="31">
        <v>34150</v>
      </c>
      <c r="T578" s="31">
        <f t="shared" si="49"/>
        <v>25612.5</v>
      </c>
    </row>
    <row r="579" spans="1:20" ht="31.5">
      <c r="A579" s="10">
        <f t="shared" si="52"/>
        <v>96</v>
      </c>
      <c r="B579" s="91" t="s">
        <v>69</v>
      </c>
      <c r="C579" s="31">
        <v>59.4</v>
      </c>
      <c r="D579" s="69">
        <v>59.4</v>
      </c>
      <c r="E579" s="85"/>
      <c r="F579" s="110"/>
      <c r="G579" s="110"/>
      <c r="H579" s="31">
        <v>59.4</v>
      </c>
      <c r="I579" s="63">
        <v>2028510</v>
      </c>
      <c r="J579" s="31">
        <f t="shared" si="47"/>
        <v>34150</v>
      </c>
      <c r="K579" s="85"/>
      <c r="L579" s="85"/>
      <c r="M579" s="85"/>
      <c r="N579" s="85"/>
      <c r="O579" s="85"/>
      <c r="P579" s="85"/>
      <c r="Q579" s="70">
        <f t="shared" si="48"/>
        <v>2028510</v>
      </c>
      <c r="R579" s="78">
        <v>0</v>
      </c>
      <c r="S579" s="31">
        <v>34150</v>
      </c>
      <c r="T579" s="31">
        <f t="shared" si="49"/>
        <v>25612.5</v>
      </c>
    </row>
    <row r="580" spans="1:20" ht="31.5">
      <c r="A580" s="10">
        <f t="shared" si="52"/>
        <v>97</v>
      </c>
      <c r="B580" s="91" t="s">
        <v>70</v>
      </c>
      <c r="C580" s="31">
        <v>59.4</v>
      </c>
      <c r="D580" s="69">
        <v>59.4</v>
      </c>
      <c r="E580" s="34"/>
      <c r="F580" s="34"/>
      <c r="G580" s="34"/>
      <c r="H580" s="31">
        <v>59.4</v>
      </c>
      <c r="I580" s="63">
        <v>2028510</v>
      </c>
      <c r="J580" s="31">
        <f t="shared" si="47"/>
        <v>34150</v>
      </c>
      <c r="K580" s="32"/>
      <c r="L580" s="34"/>
      <c r="M580" s="34"/>
      <c r="N580" s="34"/>
      <c r="O580" s="32"/>
      <c r="P580" s="32"/>
      <c r="Q580" s="70">
        <f t="shared" si="48"/>
        <v>2028510</v>
      </c>
      <c r="R580" s="63">
        <v>0</v>
      </c>
      <c r="S580" s="31">
        <v>34150</v>
      </c>
      <c r="T580" s="31">
        <f t="shared" si="49"/>
        <v>25612.5</v>
      </c>
    </row>
    <row r="581" spans="1:20" ht="15.75">
      <c r="A581" s="185" t="s">
        <v>476</v>
      </c>
      <c r="B581" s="185"/>
      <c r="C581" s="76">
        <v>552.2</v>
      </c>
      <c r="D581" s="69">
        <v>58.7</v>
      </c>
      <c r="E581" s="61"/>
      <c r="F581" s="61"/>
      <c r="G581" s="61"/>
      <c r="H581" s="76">
        <v>552.2</v>
      </c>
      <c r="I581" s="78">
        <v>18857630</v>
      </c>
      <c r="J581" s="31">
        <f t="shared" si="47"/>
        <v>34150</v>
      </c>
      <c r="K581" s="61"/>
      <c r="L581" s="61"/>
      <c r="M581" s="61"/>
      <c r="N581" s="61"/>
      <c r="O581" s="61"/>
      <c r="P581" s="61"/>
      <c r="Q581" s="70">
        <f t="shared" si="48"/>
        <v>18857630</v>
      </c>
      <c r="R581" s="63">
        <v>0</v>
      </c>
      <c r="S581" s="31">
        <v>34150</v>
      </c>
      <c r="T581" s="31">
        <f t="shared" si="49"/>
        <v>25612.5</v>
      </c>
    </row>
    <row r="582" spans="1:20" ht="47.25">
      <c r="A582" s="26">
        <v>98</v>
      </c>
      <c r="B582" s="91" t="s">
        <v>71</v>
      </c>
      <c r="C582" s="85">
        <v>320.9</v>
      </c>
      <c r="D582" s="69">
        <v>58.7</v>
      </c>
      <c r="E582" s="114"/>
      <c r="F582" s="114"/>
      <c r="G582" s="114"/>
      <c r="H582" s="85">
        <v>320.9</v>
      </c>
      <c r="I582" s="78">
        <v>10958735</v>
      </c>
      <c r="J582" s="31">
        <f t="shared" si="47"/>
        <v>34150</v>
      </c>
      <c r="K582" s="52"/>
      <c r="L582" s="52"/>
      <c r="M582" s="53"/>
      <c r="N582" s="52"/>
      <c r="O582" s="52"/>
      <c r="P582" s="53"/>
      <c r="Q582" s="70">
        <f t="shared" si="48"/>
        <v>10958735</v>
      </c>
      <c r="R582" s="66">
        <v>0</v>
      </c>
      <c r="S582" s="31">
        <v>34150</v>
      </c>
      <c r="T582" s="31">
        <f t="shared" si="49"/>
        <v>25612.5</v>
      </c>
    </row>
    <row r="583" spans="1:20" ht="47.25">
      <c r="A583" s="26">
        <f>A582+1</f>
        <v>99</v>
      </c>
      <c r="B583" s="91" t="s">
        <v>72</v>
      </c>
      <c r="C583" s="85">
        <v>231.3</v>
      </c>
      <c r="D583" s="69">
        <v>0</v>
      </c>
      <c r="E583" s="31"/>
      <c r="F583" s="31"/>
      <c r="G583" s="53"/>
      <c r="H583" s="85">
        <v>231.3</v>
      </c>
      <c r="I583" s="78">
        <v>7898895</v>
      </c>
      <c r="J583" s="31">
        <f t="shared" si="47"/>
        <v>34150</v>
      </c>
      <c r="K583" s="31"/>
      <c r="L583" s="31"/>
      <c r="M583" s="34"/>
      <c r="N583" s="31"/>
      <c r="O583" s="31"/>
      <c r="P583" s="34"/>
      <c r="Q583" s="70">
        <f t="shared" si="48"/>
        <v>7898895</v>
      </c>
      <c r="R583" s="63">
        <v>0</v>
      </c>
      <c r="S583" s="31">
        <v>34150</v>
      </c>
      <c r="T583" s="31">
        <f t="shared" si="49"/>
        <v>25612.5</v>
      </c>
    </row>
    <row r="584" spans="1:20" ht="15.75">
      <c r="A584" s="184" t="s">
        <v>481</v>
      </c>
      <c r="B584" s="184"/>
      <c r="C584" s="31">
        <v>161.4</v>
      </c>
      <c r="D584" s="69">
        <v>161.4</v>
      </c>
      <c r="E584" s="31"/>
      <c r="F584" s="31"/>
      <c r="G584" s="53"/>
      <c r="H584" s="31">
        <v>161.4</v>
      </c>
      <c r="I584" s="63">
        <v>5511810</v>
      </c>
      <c r="J584" s="31">
        <f t="shared" si="47"/>
        <v>34150</v>
      </c>
      <c r="K584" s="31"/>
      <c r="L584" s="31"/>
      <c r="M584" s="34"/>
      <c r="N584" s="31"/>
      <c r="O584" s="31"/>
      <c r="P584" s="34"/>
      <c r="Q584" s="70">
        <f t="shared" si="48"/>
        <v>5511810</v>
      </c>
      <c r="R584" s="63">
        <v>0</v>
      </c>
      <c r="S584" s="31">
        <v>34150</v>
      </c>
      <c r="T584" s="31">
        <f t="shared" si="49"/>
        <v>25612.5</v>
      </c>
    </row>
    <row r="585" spans="1:20" ht="47.25">
      <c r="A585" s="10">
        <v>100</v>
      </c>
      <c r="B585" s="7" t="s">
        <v>73</v>
      </c>
      <c r="C585" s="31">
        <v>161.4</v>
      </c>
      <c r="D585" s="69">
        <v>161.4</v>
      </c>
      <c r="E585" s="55"/>
      <c r="F585" s="55"/>
      <c r="G585" s="55"/>
      <c r="H585" s="31">
        <v>161.4</v>
      </c>
      <c r="I585" s="63">
        <v>5511810</v>
      </c>
      <c r="J585" s="31">
        <f aca="true" t="shared" si="53" ref="J585:J605">I585/H585</f>
        <v>34150</v>
      </c>
      <c r="K585" s="55"/>
      <c r="L585" s="55"/>
      <c r="M585" s="55"/>
      <c r="N585" s="55"/>
      <c r="O585" s="55"/>
      <c r="P585" s="55"/>
      <c r="Q585" s="70">
        <f aca="true" t="shared" si="54" ref="Q585:Q605">I585</f>
        <v>5511810</v>
      </c>
      <c r="R585" s="75">
        <v>0</v>
      </c>
      <c r="S585" s="31">
        <v>34150</v>
      </c>
      <c r="T585" s="31">
        <f t="shared" si="49"/>
        <v>25612.5</v>
      </c>
    </row>
    <row r="586" spans="1:20" ht="15.75">
      <c r="A586" s="185" t="s">
        <v>74</v>
      </c>
      <c r="B586" s="185"/>
      <c r="C586" s="59">
        <v>194.3</v>
      </c>
      <c r="D586" s="69">
        <v>169.9</v>
      </c>
      <c r="E586" s="61"/>
      <c r="F586" s="61"/>
      <c r="G586" s="61"/>
      <c r="H586" s="59">
        <v>194.3</v>
      </c>
      <c r="I586" s="65">
        <v>6635345</v>
      </c>
      <c r="J586" s="31">
        <f t="shared" si="53"/>
        <v>34150</v>
      </c>
      <c r="K586" s="61"/>
      <c r="L586" s="61"/>
      <c r="M586" s="61"/>
      <c r="N586" s="61"/>
      <c r="O586" s="61"/>
      <c r="P586" s="61"/>
      <c r="Q586" s="70">
        <f t="shared" si="54"/>
        <v>6635345</v>
      </c>
      <c r="R586" s="63">
        <v>0</v>
      </c>
      <c r="S586" s="31">
        <v>34150</v>
      </c>
      <c r="T586" s="31">
        <f aca="true" t="shared" si="55" ref="T586:T605">S586/4*3</f>
        <v>25612.5</v>
      </c>
    </row>
    <row r="587" spans="1:20" ht="47.25">
      <c r="A587" s="10">
        <f>A585+1</f>
        <v>101</v>
      </c>
      <c r="B587" s="57" t="s">
        <v>76</v>
      </c>
      <c r="C587" s="31">
        <v>145</v>
      </c>
      <c r="D587" s="69">
        <v>145</v>
      </c>
      <c r="E587" s="61"/>
      <c r="F587" s="61"/>
      <c r="G587" s="61"/>
      <c r="H587" s="31">
        <v>145</v>
      </c>
      <c r="I587" s="65">
        <v>4951750</v>
      </c>
      <c r="J587" s="31">
        <f t="shared" si="53"/>
        <v>34150</v>
      </c>
      <c r="K587" s="61"/>
      <c r="L587" s="61"/>
      <c r="M587" s="61"/>
      <c r="N587" s="61"/>
      <c r="O587" s="61"/>
      <c r="P587" s="61"/>
      <c r="Q587" s="70">
        <f t="shared" si="54"/>
        <v>4951750</v>
      </c>
      <c r="R587" s="63">
        <v>0</v>
      </c>
      <c r="S587" s="31">
        <v>34150</v>
      </c>
      <c r="T587" s="31">
        <f t="shared" si="55"/>
        <v>25612.5</v>
      </c>
    </row>
    <row r="588" spans="1:20" ht="47.25">
      <c r="A588" s="10">
        <f>A587+1</f>
        <v>102</v>
      </c>
      <c r="B588" s="57" t="s">
        <v>75</v>
      </c>
      <c r="C588" s="31">
        <v>49.3</v>
      </c>
      <c r="D588" s="69">
        <v>24.9</v>
      </c>
      <c r="E588" s="61"/>
      <c r="F588" s="61"/>
      <c r="G588" s="61"/>
      <c r="H588" s="31">
        <v>49.3</v>
      </c>
      <c r="I588" s="65">
        <v>1683595</v>
      </c>
      <c r="J588" s="31">
        <f t="shared" si="53"/>
        <v>34150</v>
      </c>
      <c r="K588" s="61"/>
      <c r="L588" s="61"/>
      <c r="M588" s="61"/>
      <c r="N588" s="61"/>
      <c r="O588" s="61"/>
      <c r="P588" s="61"/>
      <c r="Q588" s="70">
        <f t="shared" si="54"/>
        <v>1683595</v>
      </c>
      <c r="R588" s="63">
        <v>0</v>
      </c>
      <c r="S588" s="31">
        <v>34150</v>
      </c>
      <c r="T588" s="31">
        <f t="shared" si="55"/>
        <v>25612.5</v>
      </c>
    </row>
    <row r="589" spans="1:20" ht="15.75">
      <c r="A589" s="185" t="s">
        <v>77</v>
      </c>
      <c r="B589" s="185"/>
      <c r="C589" s="35">
        <v>1011.24</v>
      </c>
      <c r="D589" s="69">
        <v>698.27</v>
      </c>
      <c r="E589" s="61"/>
      <c r="F589" s="61"/>
      <c r="G589" s="61"/>
      <c r="H589" s="35">
        <v>1011.24</v>
      </c>
      <c r="I589" s="64">
        <v>34533846</v>
      </c>
      <c r="J589" s="31">
        <f t="shared" si="53"/>
        <v>34150</v>
      </c>
      <c r="K589" s="61"/>
      <c r="L589" s="61"/>
      <c r="M589" s="61"/>
      <c r="N589" s="61"/>
      <c r="O589" s="61"/>
      <c r="P589" s="61"/>
      <c r="Q589" s="70">
        <f t="shared" si="54"/>
        <v>34533846</v>
      </c>
      <c r="R589" s="63">
        <v>992399</v>
      </c>
      <c r="S589" s="31">
        <v>34150</v>
      </c>
      <c r="T589" s="31">
        <f t="shared" si="55"/>
        <v>25612.5</v>
      </c>
    </row>
    <row r="590" spans="1:20" ht="47.25">
      <c r="A590" s="10">
        <v>103</v>
      </c>
      <c r="B590" s="94" t="s">
        <v>79</v>
      </c>
      <c r="C590" s="35">
        <v>235.24</v>
      </c>
      <c r="D590" s="69">
        <v>235.24</v>
      </c>
      <c r="E590" s="61"/>
      <c r="F590" s="61"/>
      <c r="G590" s="32"/>
      <c r="H590" s="35">
        <v>235.24</v>
      </c>
      <c r="I590" s="64">
        <v>8033446</v>
      </c>
      <c r="J590" s="31">
        <f t="shared" si="53"/>
        <v>34150</v>
      </c>
      <c r="K590" s="61"/>
      <c r="L590" s="61"/>
      <c r="M590" s="61"/>
      <c r="N590" s="61"/>
      <c r="O590" s="61"/>
      <c r="P590" s="61"/>
      <c r="Q590" s="70">
        <f t="shared" si="54"/>
        <v>8033446</v>
      </c>
      <c r="R590" s="63">
        <v>258174</v>
      </c>
      <c r="S590" s="31">
        <v>34150</v>
      </c>
      <c r="T590" s="31">
        <f t="shared" si="55"/>
        <v>25612.5</v>
      </c>
    </row>
    <row r="591" spans="1:20" ht="47.25">
      <c r="A591" s="10">
        <f>A590+1</f>
        <v>104</v>
      </c>
      <c r="B591" s="94" t="s">
        <v>78</v>
      </c>
      <c r="C591" s="35">
        <v>89.6</v>
      </c>
      <c r="D591" s="69">
        <v>89.6</v>
      </c>
      <c r="E591" s="61"/>
      <c r="F591" s="61"/>
      <c r="G591" s="61"/>
      <c r="H591" s="35">
        <v>89.6</v>
      </c>
      <c r="I591" s="64">
        <v>3059840</v>
      </c>
      <c r="J591" s="31">
        <f t="shared" si="53"/>
        <v>34150</v>
      </c>
      <c r="K591" s="61"/>
      <c r="L591" s="61"/>
      <c r="M591" s="61"/>
      <c r="N591" s="61"/>
      <c r="O591" s="61"/>
      <c r="P591" s="61"/>
      <c r="Q591" s="70">
        <f t="shared" si="54"/>
        <v>3059840</v>
      </c>
      <c r="R591" s="63">
        <v>27320</v>
      </c>
      <c r="S591" s="31">
        <v>34150</v>
      </c>
      <c r="T591" s="31">
        <f t="shared" si="55"/>
        <v>25612.5</v>
      </c>
    </row>
    <row r="592" spans="1:20" ht="47.25">
      <c r="A592" s="10">
        <f>A591+1</f>
        <v>105</v>
      </c>
      <c r="B592" s="94" t="s">
        <v>80</v>
      </c>
      <c r="C592" s="35">
        <v>51.33</v>
      </c>
      <c r="D592" s="69">
        <v>30.88</v>
      </c>
      <c r="E592" s="34"/>
      <c r="F592" s="34"/>
      <c r="G592" s="34"/>
      <c r="H592" s="35">
        <v>51.33</v>
      </c>
      <c r="I592" s="64">
        <v>1752919.5</v>
      </c>
      <c r="J592" s="31">
        <f t="shared" si="53"/>
        <v>34150</v>
      </c>
      <c r="K592" s="32"/>
      <c r="L592" s="34"/>
      <c r="M592" s="34"/>
      <c r="N592" s="34"/>
      <c r="O592" s="32"/>
      <c r="P592" s="32"/>
      <c r="Q592" s="70">
        <f t="shared" si="54"/>
        <v>1752919.5</v>
      </c>
      <c r="R592" s="63">
        <v>43371</v>
      </c>
      <c r="S592" s="31">
        <v>34150</v>
      </c>
      <c r="T592" s="31">
        <f t="shared" si="55"/>
        <v>25612.5</v>
      </c>
    </row>
    <row r="593" spans="1:20" ht="47.25">
      <c r="A593" s="10">
        <f>A592+1</f>
        <v>106</v>
      </c>
      <c r="B593" s="94" t="s">
        <v>81</v>
      </c>
      <c r="C593" s="35">
        <v>155</v>
      </c>
      <c r="D593" s="69">
        <v>120.52</v>
      </c>
      <c r="E593" s="61"/>
      <c r="F593" s="61"/>
      <c r="G593" s="61"/>
      <c r="H593" s="35">
        <v>155</v>
      </c>
      <c r="I593" s="64">
        <v>5293250</v>
      </c>
      <c r="J593" s="31">
        <f t="shared" si="53"/>
        <v>34150</v>
      </c>
      <c r="K593" s="61"/>
      <c r="L593" s="61"/>
      <c r="M593" s="61"/>
      <c r="N593" s="61"/>
      <c r="O593" s="61"/>
      <c r="P593" s="61"/>
      <c r="Q593" s="70">
        <f t="shared" si="54"/>
        <v>5293250</v>
      </c>
      <c r="R593" s="67">
        <v>184410</v>
      </c>
      <c r="S593" s="31">
        <v>34150</v>
      </c>
      <c r="T593" s="31">
        <f t="shared" si="55"/>
        <v>25612.5</v>
      </c>
    </row>
    <row r="594" spans="1:20" ht="47.25">
      <c r="A594" s="10">
        <f>A593+1</f>
        <v>107</v>
      </c>
      <c r="B594" s="94" t="s">
        <v>82</v>
      </c>
      <c r="C594" s="35">
        <v>71.5</v>
      </c>
      <c r="D594" s="69">
        <v>41.1</v>
      </c>
      <c r="E594" s="61"/>
      <c r="F594" s="61"/>
      <c r="G594" s="61"/>
      <c r="H594" s="35">
        <v>71.5</v>
      </c>
      <c r="I594" s="64">
        <v>2441725</v>
      </c>
      <c r="J594" s="31">
        <f t="shared" si="53"/>
        <v>34150</v>
      </c>
      <c r="K594" s="61"/>
      <c r="L594" s="61"/>
      <c r="M594" s="61"/>
      <c r="N594" s="61"/>
      <c r="O594" s="61"/>
      <c r="P594" s="61"/>
      <c r="Q594" s="70">
        <f t="shared" si="54"/>
        <v>2441725</v>
      </c>
      <c r="R594" s="67">
        <v>27320</v>
      </c>
      <c r="S594" s="31">
        <v>34150</v>
      </c>
      <c r="T594" s="31">
        <f t="shared" si="55"/>
        <v>25612.5</v>
      </c>
    </row>
    <row r="595" spans="1:20" ht="47.25">
      <c r="A595" s="10">
        <f>A594+1</f>
        <v>108</v>
      </c>
      <c r="B595" s="94" t="s">
        <v>83</v>
      </c>
      <c r="C595" s="35">
        <v>408.57</v>
      </c>
      <c r="D595" s="69">
        <v>180.93</v>
      </c>
      <c r="E595" s="61"/>
      <c r="F595" s="61"/>
      <c r="G595" s="61"/>
      <c r="H595" s="35">
        <v>408.57</v>
      </c>
      <c r="I595" s="64">
        <v>13952665.5</v>
      </c>
      <c r="J595" s="31">
        <f t="shared" si="53"/>
        <v>34150</v>
      </c>
      <c r="K595" s="61"/>
      <c r="L595" s="61"/>
      <c r="M595" s="61"/>
      <c r="N595" s="61"/>
      <c r="O595" s="61"/>
      <c r="P595" s="61"/>
      <c r="Q595" s="70">
        <f t="shared" si="54"/>
        <v>13952665.5</v>
      </c>
      <c r="R595" s="67">
        <v>451804</v>
      </c>
      <c r="S595" s="31">
        <v>34150</v>
      </c>
      <c r="T595" s="31">
        <f t="shared" si="55"/>
        <v>25612.5</v>
      </c>
    </row>
    <row r="596" spans="1:20" ht="15.75">
      <c r="A596" s="185" t="s">
        <v>84</v>
      </c>
      <c r="B596" s="185"/>
      <c r="C596" s="34">
        <v>1820.2</v>
      </c>
      <c r="D596" s="69">
        <v>1495.7</v>
      </c>
      <c r="E596" s="61"/>
      <c r="F596" s="61"/>
      <c r="G596" s="61"/>
      <c r="H596" s="34">
        <v>1820.2</v>
      </c>
      <c r="I596" s="34">
        <v>62159830</v>
      </c>
      <c r="J596" s="31">
        <f t="shared" si="53"/>
        <v>34150</v>
      </c>
      <c r="K596" s="61"/>
      <c r="L596" s="61"/>
      <c r="M596" s="61"/>
      <c r="N596" s="61"/>
      <c r="O596" s="61"/>
      <c r="P596" s="61"/>
      <c r="Q596" s="70">
        <f t="shared" si="54"/>
        <v>62159830</v>
      </c>
      <c r="R596" s="67">
        <v>0</v>
      </c>
      <c r="S596" s="31">
        <v>34150</v>
      </c>
      <c r="T596" s="31">
        <f t="shared" si="55"/>
        <v>25612.5</v>
      </c>
    </row>
    <row r="597" spans="1:20" ht="47.25">
      <c r="A597" s="10">
        <f>A595+1</f>
        <v>109</v>
      </c>
      <c r="B597" s="7" t="s">
        <v>85</v>
      </c>
      <c r="C597" s="31">
        <v>507.6</v>
      </c>
      <c r="D597" s="69">
        <v>443.2</v>
      </c>
      <c r="E597" s="61"/>
      <c r="F597" s="61"/>
      <c r="G597" s="61"/>
      <c r="H597" s="31">
        <v>507.6</v>
      </c>
      <c r="I597" s="63">
        <v>17334540</v>
      </c>
      <c r="J597" s="31">
        <f t="shared" si="53"/>
        <v>34150</v>
      </c>
      <c r="K597" s="61"/>
      <c r="L597" s="61"/>
      <c r="M597" s="61"/>
      <c r="N597" s="61"/>
      <c r="O597" s="61"/>
      <c r="P597" s="61"/>
      <c r="Q597" s="70">
        <f t="shared" si="54"/>
        <v>17334540</v>
      </c>
      <c r="R597" s="67">
        <v>0</v>
      </c>
      <c r="S597" s="31">
        <v>34150</v>
      </c>
      <c r="T597" s="31">
        <f t="shared" si="55"/>
        <v>25612.5</v>
      </c>
    </row>
    <row r="598" spans="1:20" ht="47.25">
      <c r="A598" s="10">
        <f>A597+1</f>
        <v>110</v>
      </c>
      <c r="B598" s="7" t="s">
        <v>86</v>
      </c>
      <c r="C598" s="31">
        <v>399.6</v>
      </c>
      <c r="D598" s="69">
        <v>399.6</v>
      </c>
      <c r="E598" s="34"/>
      <c r="F598" s="34"/>
      <c r="G598" s="34"/>
      <c r="H598" s="31">
        <v>399.6</v>
      </c>
      <c r="I598" s="63">
        <v>13646340</v>
      </c>
      <c r="J598" s="31">
        <f t="shared" si="53"/>
        <v>34150</v>
      </c>
      <c r="K598" s="32"/>
      <c r="L598" s="34"/>
      <c r="M598" s="34"/>
      <c r="N598" s="34"/>
      <c r="O598" s="32"/>
      <c r="P598" s="32"/>
      <c r="Q598" s="70">
        <f t="shared" si="54"/>
        <v>13646340</v>
      </c>
      <c r="R598" s="63">
        <v>0</v>
      </c>
      <c r="S598" s="31">
        <v>34150</v>
      </c>
      <c r="T598" s="31">
        <f t="shared" si="55"/>
        <v>25612.5</v>
      </c>
    </row>
    <row r="599" spans="1:20" ht="63">
      <c r="A599" s="10">
        <f>A598+1</f>
        <v>111</v>
      </c>
      <c r="B599" s="7" t="s">
        <v>87</v>
      </c>
      <c r="C599" s="31">
        <v>155.8</v>
      </c>
      <c r="D599" s="69">
        <v>155.8</v>
      </c>
      <c r="E599" s="61"/>
      <c r="F599" s="61"/>
      <c r="G599" s="61"/>
      <c r="H599" s="31">
        <v>155.8</v>
      </c>
      <c r="I599" s="63">
        <v>5320570</v>
      </c>
      <c r="J599" s="31">
        <f t="shared" si="53"/>
        <v>34150</v>
      </c>
      <c r="K599" s="61"/>
      <c r="L599" s="61"/>
      <c r="M599" s="61"/>
      <c r="N599" s="61"/>
      <c r="O599" s="61"/>
      <c r="P599" s="61"/>
      <c r="Q599" s="70">
        <f t="shared" si="54"/>
        <v>5320570</v>
      </c>
      <c r="R599" s="67">
        <v>0</v>
      </c>
      <c r="S599" s="31">
        <v>34150</v>
      </c>
      <c r="T599" s="31">
        <f t="shared" si="55"/>
        <v>25612.5</v>
      </c>
    </row>
    <row r="600" spans="1:20" ht="47.25">
      <c r="A600" s="10">
        <f>A599+1</f>
        <v>112</v>
      </c>
      <c r="B600" s="7" t="s">
        <v>88</v>
      </c>
      <c r="C600" s="31">
        <v>360.3</v>
      </c>
      <c r="D600" s="69">
        <v>258.7</v>
      </c>
      <c r="E600" s="61"/>
      <c r="F600" s="61"/>
      <c r="G600" s="61"/>
      <c r="H600" s="31">
        <v>360.3</v>
      </c>
      <c r="I600" s="63">
        <v>12304245</v>
      </c>
      <c r="J600" s="31">
        <f t="shared" si="53"/>
        <v>34150</v>
      </c>
      <c r="K600" s="61"/>
      <c r="L600" s="61"/>
      <c r="M600" s="61"/>
      <c r="N600" s="61"/>
      <c r="O600" s="61"/>
      <c r="P600" s="61"/>
      <c r="Q600" s="70">
        <f t="shared" si="54"/>
        <v>12304245</v>
      </c>
      <c r="R600" s="67">
        <v>0</v>
      </c>
      <c r="S600" s="31">
        <v>34150</v>
      </c>
      <c r="T600" s="31">
        <f t="shared" si="55"/>
        <v>25612.5</v>
      </c>
    </row>
    <row r="601" spans="1:20" ht="47.25">
      <c r="A601" s="10">
        <f>A600+1</f>
        <v>113</v>
      </c>
      <c r="B601" s="7" t="s">
        <v>89</v>
      </c>
      <c r="C601" s="62">
        <v>396.9</v>
      </c>
      <c r="D601" s="69">
        <v>238.4</v>
      </c>
      <c r="E601" s="61"/>
      <c r="F601" s="61"/>
      <c r="G601" s="61"/>
      <c r="H601" s="62">
        <v>396.9</v>
      </c>
      <c r="I601" s="67">
        <v>13554135</v>
      </c>
      <c r="J601" s="31">
        <f t="shared" si="53"/>
        <v>34150</v>
      </c>
      <c r="K601" s="61"/>
      <c r="L601" s="61"/>
      <c r="M601" s="61"/>
      <c r="N601" s="61"/>
      <c r="O601" s="61"/>
      <c r="P601" s="61"/>
      <c r="Q601" s="70">
        <f t="shared" si="54"/>
        <v>13554135</v>
      </c>
      <c r="R601" s="67">
        <v>0</v>
      </c>
      <c r="S601" s="31">
        <v>34150</v>
      </c>
      <c r="T601" s="31">
        <f t="shared" si="55"/>
        <v>25612.5</v>
      </c>
    </row>
    <row r="602" spans="1:20" ht="15.75">
      <c r="A602" s="185" t="s">
        <v>90</v>
      </c>
      <c r="B602" s="185"/>
      <c r="C602" s="34">
        <v>373</v>
      </c>
      <c r="D602" s="69">
        <v>108.3</v>
      </c>
      <c r="E602" s="61"/>
      <c r="F602" s="61"/>
      <c r="G602" s="61"/>
      <c r="H602" s="34">
        <v>373</v>
      </c>
      <c r="I602" s="63">
        <v>12737950</v>
      </c>
      <c r="J602" s="31">
        <f t="shared" si="53"/>
        <v>34150</v>
      </c>
      <c r="K602" s="61"/>
      <c r="L602" s="61"/>
      <c r="M602" s="61"/>
      <c r="N602" s="61"/>
      <c r="O602" s="61"/>
      <c r="P602" s="61"/>
      <c r="Q602" s="70">
        <f t="shared" si="54"/>
        <v>12737950</v>
      </c>
      <c r="R602" s="67">
        <v>0</v>
      </c>
      <c r="S602" s="31">
        <v>34150</v>
      </c>
      <c r="T602" s="31">
        <f t="shared" si="55"/>
        <v>25612.5</v>
      </c>
    </row>
    <row r="603" spans="1:20" ht="31.5">
      <c r="A603" s="10">
        <f>A601+1</f>
        <v>114</v>
      </c>
      <c r="B603" s="94" t="s">
        <v>91</v>
      </c>
      <c r="C603" s="62">
        <v>175</v>
      </c>
      <c r="D603" s="69">
        <v>71.5</v>
      </c>
      <c r="E603" s="61"/>
      <c r="F603" s="61"/>
      <c r="G603" s="61"/>
      <c r="H603" s="62">
        <v>175</v>
      </c>
      <c r="I603" s="67">
        <v>5976250</v>
      </c>
      <c r="J603" s="31">
        <f t="shared" si="53"/>
        <v>34150</v>
      </c>
      <c r="K603" s="61"/>
      <c r="L603" s="61"/>
      <c r="M603" s="61"/>
      <c r="N603" s="61"/>
      <c r="O603" s="61"/>
      <c r="P603" s="61"/>
      <c r="Q603" s="70">
        <f t="shared" si="54"/>
        <v>5976250</v>
      </c>
      <c r="R603" s="67">
        <v>0</v>
      </c>
      <c r="S603" s="31">
        <v>34150</v>
      </c>
      <c r="T603" s="31">
        <f t="shared" si="55"/>
        <v>25612.5</v>
      </c>
    </row>
    <row r="604" spans="1:20" ht="31.5">
      <c r="A604" s="10">
        <f>A603+1</f>
        <v>115</v>
      </c>
      <c r="B604" s="94" t="s">
        <v>92</v>
      </c>
      <c r="C604" s="62">
        <v>110</v>
      </c>
      <c r="D604" s="69">
        <v>36.8</v>
      </c>
      <c r="E604" s="61"/>
      <c r="F604" s="61"/>
      <c r="G604" s="61"/>
      <c r="H604" s="62">
        <v>110</v>
      </c>
      <c r="I604" s="67">
        <v>3756500</v>
      </c>
      <c r="J604" s="31">
        <f t="shared" si="53"/>
        <v>34150</v>
      </c>
      <c r="K604" s="61"/>
      <c r="L604" s="61"/>
      <c r="M604" s="61"/>
      <c r="N604" s="61"/>
      <c r="O604" s="61"/>
      <c r="P604" s="61"/>
      <c r="Q604" s="70">
        <f t="shared" si="54"/>
        <v>3756500</v>
      </c>
      <c r="R604" s="67">
        <v>0</v>
      </c>
      <c r="S604" s="31">
        <v>34150</v>
      </c>
      <c r="T604" s="31">
        <f t="shared" si="55"/>
        <v>25612.5</v>
      </c>
    </row>
    <row r="605" spans="1:20" ht="31.5">
      <c r="A605" s="10">
        <f>A604+1</f>
        <v>116</v>
      </c>
      <c r="B605" s="94" t="s">
        <v>93</v>
      </c>
      <c r="C605" s="62">
        <v>88</v>
      </c>
      <c r="D605" s="69">
        <v>0</v>
      </c>
      <c r="E605" s="61"/>
      <c r="F605" s="61"/>
      <c r="G605" s="61"/>
      <c r="H605" s="62">
        <v>88</v>
      </c>
      <c r="I605" s="67">
        <v>3005200</v>
      </c>
      <c r="J605" s="31">
        <f t="shared" si="53"/>
        <v>34150</v>
      </c>
      <c r="K605" s="61"/>
      <c r="L605" s="61"/>
      <c r="M605" s="61"/>
      <c r="N605" s="61"/>
      <c r="O605" s="61"/>
      <c r="P605" s="61"/>
      <c r="Q605" s="70">
        <f t="shared" si="54"/>
        <v>3005200</v>
      </c>
      <c r="R605" s="67">
        <v>0</v>
      </c>
      <c r="S605" s="31">
        <v>34150</v>
      </c>
      <c r="T605" s="31">
        <f t="shared" si="55"/>
        <v>25612.5</v>
      </c>
    </row>
    <row r="606" spans="5:13" ht="12.75">
      <c r="E606" s="5"/>
      <c r="F606" s="5"/>
      <c r="G606" s="5"/>
      <c r="H606" s="5"/>
      <c r="I606" s="5"/>
      <c r="J606" s="5"/>
      <c r="K606" s="5"/>
      <c r="L606" s="5"/>
      <c r="M606" s="5"/>
    </row>
    <row r="607" spans="2:13" ht="18.75">
      <c r="B607" s="141" t="s">
        <v>644</v>
      </c>
      <c r="C607" s="144"/>
      <c r="D607" s="144"/>
      <c r="E607" s="5"/>
      <c r="F607" s="5"/>
      <c r="G607" s="5"/>
      <c r="H607" s="5"/>
      <c r="I607" s="5"/>
      <c r="J607" s="5"/>
      <c r="K607" s="5"/>
      <c r="L607" s="5"/>
      <c r="M607" s="5"/>
    </row>
    <row r="608" spans="2:13" ht="18.75">
      <c r="B608" s="141" t="s">
        <v>701</v>
      </c>
      <c r="C608" s="141"/>
      <c r="D608" s="141"/>
      <c r="E608" s="143"/>
      <c r="F608" s="5"/>
      <c r="G608" s="5"/>
      <c r="H608" s="5"/>
      <c r="I608" s="5"/>
      <c r="J608" s="5"/>
      <c r="K608" s="5"/>
      <c r="L608" s="5"/>
      <c r="M608" s="5"/>
    </row>
    <row r="609" spans="2:13" ht="18.75">
      <c r="B609" s="141" t="s">
        <v>704</v>
      </c>
      <c r="C609" s="141"/>
      <c r="D609" s="141"/>
      <c r="E609" s="143"/>
      <c r="F609" s="5"/>
      <c r="G609" s="5"/>
      <c r="H609" s="5"/>
      <c r="I609" s="5"/>
      <c r="J609" s="5"/>
      <c r="K609" s="5"/>
      <c r="L609" s="5"/>
      <c r="M609" s="5"/>
    </row>
    <row r="610" spans="5:13" ht="12.75">
      <c r="E610" s="5"/>
      <c r="F610" s="5"/>
      <c r="G610" s="5"/>
      <c r="H610" s="5"/>
      <c r="I610" s="5"/>
      <c r="J610" s="5"/>
      <c r="K610" s="5"/>
      <c r="L610" s="5"/>
      <c r="M610" s="5"/>
    </row>
  </sheetData>
  <sheetProtection/>
  <mergeCells count="80">
    <mergeCell ref="A589:B589"/>
    <mergeCell ref="A596:B596"/>
    <mergeCell ref="A602:B602"/>
    <mergeCell ref="A566:B566"/>
    <mergeCell ref="A581:B581"/>
    <mergeCell ref="A584:B584"/>
    <mergeCell ref="A586:B586"/>
    <mergeCell ref="A502:B502"/>
    <mergeCell ref="A527:B527"/>
    <mergeCell ref="A530:B530"/>
    <mergeCell ref="A553:B553"/>
    <mergeCell ref="A475:B475"/>
    <mergeCell ref="A476:B476"/>
    <mergeCell ref="A483:B483"/>
    <mergeCell ref="A496:B496"/>
    <mergeCell ref="A130:B130"/>
    <mergeCell ref="A140:B140"/>
    <mergeCell ref="A144:B144"/>
    <mergeCell ref="A88:B88"/>
    <mergeCell ref="A99:B99"/>
    <mergeCell ref="A114:B114"/>
    <mergeCell ref="A124:B124"/>
    <mergeCell ref="A149:B149"/>
    <mergeCell ref="A160:B160"/>
    <mergeCell ref="A168:B168"/>
    <mergeCell ref="A155:B155"/>
    <mergeCell ref="A181:B181"/>
    <mergeCell ref="A184:B184"/>
    <mergeCell ref="A195:B195"/>
    <mergeCell ref="A201:B201"/>
    <mergeCell ref="A427:B427"/>
    <mergeCell ref="A202:B202"/>
    <mergeCell ref="A225:B225"/>
    <mergeCell ref="A238:B238"/>
    <mergeCell ref="A249:B249"/>
    <mergeCell ref="A362:B362"/>
    <mergeCell ref="A366:B366"/>
    <mergeCell ref="A395:B395"/>
    <mergeCell ref="A409:B409"/>
    <mergeCell ref="A471:B471"/>
    <mergeCell ref="A432:B432"/>
    <mergeCell ref="A451:B451"/>
    <mergeCell ref="A458:B458"/>
    <mergeCell ref="A465:B465"/>
    <mergeCell ref="A453:B453"/>
    <mergeCell ref="M1:T1"/>
    <mergeCell ref="A10:B10"/>
    <mergeCell ref="A197:B197"/>
    <mergeCell ref="A2:T2"/>
    <mergeCell ref="E4:G4"/>
    <mergeCell ref="Q4:Q6"/>
    <mergeCell ref="K5:K6"/>
    <mergeCell ref="A8:B8"/>
    <mergeCell ref="A86:B86"/>
    <mergeCell ref="O5:O6"/>
    <mergeCell ref="B4:B6"/>
    <mergeCell ref="C4:D4"/>
    <mergeCell ref="A62:B62"/>
    <mergeCell ref="A9:B9"/>
    <mergeCell ref="A53:B53"/>
    <mergeCell ref="A34:B34"/>
    <mergeCell ref="A44:B44"/>
    <mergeCell ref="A4:A6"/>
    <mergeCell ref="S4:S6"/>
    <mergeCell ref="T4:T6"/>
    <mergeCell ref="C5:C6"/>
    <mergeCell ref="E5:E6"/>
    <mergeCell ref="F5:F6"/>
    <mergeCell ref="G5:G6"/>
    <mergeCell ref="H5:H6"/>
    <mergeCell ref="I5:I6"/>
    <mergeCell ref="P5:P6"/>
    <mergeCell ref="J5:J6"/>
    <mergeCell ref="R4:R6"/>
    <mergeCell ref="H4:J4"/>
    <mergeCell ref="K4:M4"/>
    <mergeCell ref="N4:P4"/>
    <mergeCell ref="L5:L6"/>
    <mergeCell ref="M5:M6"/>
    <mergeCell ref="N5:N6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9.7109375" style="0" customWidth="1"/>
    <col min="4" max="4" width="10.140625" style="0" customWidth="1"/>
    <col min="5" max="5" width="10.28125" style="0" customWidth="1"/>
    <col min="6" max="6" width="13.28125" style="0" customWidth="1"/>
    <col min="8" max="9" width="9.8515625" style="0" customWidth="1"/>
    <col min="10" max="10" width="13.7109375" style="0" customWidth="1"/>
    <col min="12" max="13" width="11.57421875" style="0" customWidth="1"/>
    <col min="14" max="14" width="11.7109375" style="0" customWidth="1"/>
  </cols>
  <sheetData>
    <row r="1" spans="1:14" ht="138" customHeight="1">
      <c r="A1" s="17"/>
      <c r="B1" s="17"/>
      <c r="C1" s="17"/>
      <c r="D1" s="17"/>
      <c r="E1" s="17"/>
      <c r="F1" s="17"/>
      <c r="G1" s="190" t="s">
        <v>694</v>
      </c>
      <c r="H1" s="190"/>
      <c r="I1" s="190"/>
      <c r="J1" s="190"/>
      <c r="K1" s="190"/>
      <c r="L1" s="190"/>
      <c r="M1" s="190"/>
      <c r="N1" s="190"/>
    </row>
    <row r="2" spans="1:14" ht="40.5" customHeight="1">
      <c r="A2" s="191" t="s">
        <v>562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18.75" customHeight="1">
      <c r="A3" s="191" t="s">
        <v>527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166" t="s">
        <v>529</v>
      </c>
      <c r="B5" s="166" t="s">
        <v>563</v>
      </c>
      <c r="C5" s="187" t="s">
        <v>564</v>
      </c>
      <c r="D5" s="187"/>
      <c r="E5" s="187"/>
      <c r="F5" s="187"/>
      <c r="G5" s="187" t="s">
        <v>565</v>
      </c>
      <c r="H5" s="187"/>
      <c r="I5" s="187"/>
      <c r="J5" s="187"/>
      <c r="K5" s="187" t="s">
        <v>566</v>
      </c>
      <c r="L5" s="187"/>
      <c r="M5" s="187"/>
      <c r="N5" s="187"/>
    </row>
    <row r="6" spans="1:14" ht="31.5">
      <c r="A6" s="167"/>
      <c r="B6" s="167"/>
      <c r="C6" s="32" t="s">
        <v>691</v>
      </c>
      <c r="D6" s="32" t="s">
        <v>692</v>
      </c>
      <c r="E6" s="32" t="s">
        <v>693</v>
      </c>
      <c r="F6" s="32" t="s">
        <v>539</v>
      </c>
      <c r="G6" s="32" t="s">
        <v>691</v>
      </c>
      <c r="H6" s="32" t="s">
        <v>692</v>
      </c>
      <c r="I6" s="32" t="s">
        <v>693</v>
      </c>
      <c r="J6" s="32" t="s">
        <v>539</v>
      </c>
      <c r="K6" s="32" t="s">
        <v>691</v>
      </c>
      <c r="L6" s="32" t="s">
        <v>692</v>
      </c>
      <c r="M6" s="32" t="s">
        <v>693</v>
      </c>
      <c r="N6" s="32" t="s">
        <v>539</v>
      </c>
    </row>
    <row r="7" spans="1:14" ht="15.75">
      <c r="A7" s="168"/>
      <c r="B7" s="168"/>
      <c r="C7" s="9" t="s">
        <v>550</v>
      </c>
      <c r="D7" s="9" t="s">
        <v>550</v>
      </c>
      <c r="E7" s="9" t="s">
        <v>550</v>
      </c>
      <c r="F7" s="9" t="s">
        <v>550</v>
      </c>
      <c r="G7" s="9" t="s">
        <v>551</v>
      </c>
      <c r="H7" s="9" t="s">
        <v>551</v>
      </c>
      <c r="I7" s="9" t="s">
        <v>551</v>
      </c>
      <c r="J7" s="9" t="s">
        <v>551</v>
      </c>
      <c r="K7" s="9" t="s">
        <v>549</v>
      </c>
      <c r="L7" s="9" t="s">
        <v>549</v>
      </c>
      <c r="M7" s="9" t="s">
        <v>549</v>
      </c>
      <c r="N7" s="9" t="s">
        <v>549</v>
      </c>
    </row>
    <row r="8" spans="1:14" ht="15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</row>
    <row r="9" spans="1:14" ht="15.75">
      <c r="A9" s="8"/>
      <c r="B9" s="10" t="s">
        <v>567</v>
      </c>
      <c r="C9" s="9">
        <f aca="true" t="shared" si="0" ref="C9:N9">C10+C11+C12+C13+C14+C15+C16+C17+C18+C19+C20+C21+C22+C23+C24+C25+C26+C27+C28+C29+C30</f>
        <v>0</v>
      </c>
      <c r="D9" s="48">
        <f t="shared" si="0"/>
        <v>31221.019999999993</v>
      </c>
      <c r="E9" s="48">
        <f t="shared" si="0"/>
        <v>53980.020000000004</v>
      </c>
      <c r="F9" s="48">
        <f t="shared" si="0"/>
        <v>85201.04000000001</v>
      </c>
      <c r="G9" s="38">
        <f t="shared" si="0"/>
        <v>0</v>
      </c>
      <c r="H9" s="38">
        <f>H10+H11+H12+H13+H14+H15+H16+H17+H18+H19+H20+H21+H22+H23+H24+H25+H26+H27+H28+H29+H30</f>
        <v>895</v>
      </c>
      <c r="I9" s="38">
        <f t="shared" si="0"/>
        <v>1558</v>
      </c>
      <c r="J9" s="38">
        <f t="shared" si="0"/>
        <v>2453</v>
      </c>
      <c r="K9" s="38">
        <f t="shared" si="0"/>
        <v>0</v>
      </c>
      <c r="L9" s="38">
        <f>L10+L11+L12+L13+L14+L15+L16+L17+L18+L19+L20+L21+L22+L23+L24+L25+L26+L27+L28+L29+L30</f>
        <v>2218</v>
      </c>
      <c r="M9" s="38">
        <f t="shared" si="0"/>
        <v>3597</v>
      </c>
      <c r="N9" s="38">
        <f t="shared" si="0"/>
        <v>5815</v>
      </c>
    </row>
    <row r="10" spans="1:14" ht="15.75">
      <c r="A10" s="10">
        <v>1</v>
      </c>
      <c r="B10" s="94" t="s">
        <v>575</v>
      </c>
      <c r="C10" s="9">
        <v>0</v>
      </c>
      <c r="D10" s="48">
        <f>'Перечень МКД'!M10</f>
        <v>3475.4900000000002</v>
      </c>
      <c r="E10" s="48">
        <f>'Перечень МКД'!M202+'Перечень МКД'!M476</f>
        <v>5340.589999999999</v>
      </c>
      <c r="F10" s="9">
        <f>C10+D10+E10</f>
        <v>8816.08</v>
      </c>
      <c r="G10" s="9">
        <v>0</v>
      </c>
      <c r="H10" s="9">
        <f>'Перечень МКД'!J10</f>
        <v>119</v>
      </c>
      <c r="I10" s="9">
        <f>'Перечень МКД'!J202+'Перечень МКД'!J476</f>
        <v>173</v>
      </c>
      <c r="J10" s="9">
        <f>G10+H10+I10</f>
        <v>292</v>
      </c>
      <c r="K10" s="9">
        <v>0</v>
      </c>
      <c r="L10" s="9">
        <f>'Перечень МКД'!H10</f>
        <v>273</v>
      </c>
      <c r="M10" s="9">
        <f>'Перечень МКД'!H202+'Перечень МКД'!H476</f>
        <v>390</v>
      </c>
      <c r="N10" s="9">
        <f>K10+L10+M10</f>
        <v>663</v>
      </c>
    </row>
    <row r="11" spans="1:14" ht="15.75">
      <c r="A11" s="146">
        <f>A10+1</f>
        <v>2</v>
      </c>
      <c r="B11" s="94" t="s">
        <v>95</v>
      </c>
      <c r="C11" s="9">
        <v>0</v>
      </c>
      <c r="D11" s="48">
        <f>'Перечень МКД'!M34</f>
        <v>3838</v>
      </c>
      <c r="E11" s="48">
        <f>'Перечень МКД'!M225+'Перечень МКД'!M483</f>
        <v>6656.9</v>
      </c>
      <c r="F11" s="9">
        <f aca="true" t="shared" si="1" ref="F11:F30">C11+D11+E11</f>
        <v>10494.9</v>
      </c>
      <c r="G11" s="9">
        <v>0</v>
      </c>
      <c r="H11" s="115">
        <f>'Перечень МКД'!J34</f>
        <v>108</v>
      </c>
      <c r="I11" s="115">
        <f>'Перечень МКД'!J225+'Перечень МКД'!J483</f>
        <v>164</v>
      </c>
      <c r="J11" s="9">
        <f aca="true" t="shared" si="2" ref="J11:J30">G11+H11+I11</f>
        <v>272</v>
      </c>
      <c r="K11" s="9">
        <v>0</v>
      </c>
      <c r="L11" s="115">
        <f>'Перечень МКД'!H34</f>
        <v>231</v>
      </c>
      <c r="M11" s="115">
        <f>'Перечень МКД'!H225+'Перечень МКД'!H483</f>
        <v>402</v>
      </c>
      <c r="N11" s="9">
        <f aca="true" t="shared" si="3" ref="N11:N30">K11+L11+M11</f>
        <v>633</v>
      </c>
    </row>
    <row r="12" spans="1:14" ht="15.75">
      <c r="A12" s="146">
        <f aca="true" t="shared" si="4" ref="A12:A30">A11+1</f>
        <v>3</v>
      </c>
      <c r="B12" s="94" t="s">
        <v>576</v>
      </c>
      <c r="C12" s="9">
        <v>0</v>
      </c>
      <c r="D12" s="42">
        <f>'Перечень МКД'!M44</f>
        <v>1117.3</v>
      </c>
      <c r="E12" s="42">
        <f>'Перечень МКД'!M238+'Перечень МКД'!M496</f>
        <v>1677.5</v>
      </c>
      <c r="F12" s="42">
        <f>C12+D12+E12</f>
        <v>2794.8</v>
      </c>
      <c r="G12" s="40">
        <v>0</v>
      </c>
      <c r="H12" s="40">
        <f>'Перечень МКД'!J44</f>
        <v>31</v>
      </c>
      <c r="I12" s="40">
        <f>'Перечень МКД'!J238+'Перечень МКД'!J496</f>
        <v>46</v>
      </c>
      <c r="J12" s="40">
        <f t="shared" si="2"/>
        <v>77</v>
      </c>
      <c r="K12" s="40">
        <v>0</v>
      </c>
      <c r="L12" s="40">
        <f>'Перечень МКД'!H44</f>
        <v>66</v>
      </c>
      <c r="M12" s="40">
        <f>'Перечень МКД'!H238+'Перечень МКД'!H496</f>
        <v>109</v>
      </c>
      <c r="N12" s="40">
        <f t="shared" si="3"/>
        <v>175</v>
      </c>
    </row>
    <row r="13" spans="1:14" ht="15.75">
      <c r="A13" s="146">
        <f t="shared" si="4"/>
        <v>4</v>
      </c>
      <c r="B13" s="94" t="s">
        <v>96</v>
      </c>
      <c r="C13" s="9">
        <v>0</v>
      </c>
      <c r="D13" s="42">
        <f>'Перечень МКД'!M53</f>
        <v>908.8000000000001</v>
      </c>
      <c r="E13" s="42">
        <v>0</v>
      </c>
      <c r="F13" s="40">
        <f t="shared" si="1"/>
        <v>908.8000000000001</v>
      </c>
      <c r="G13" s="40">
        <v>0</v>
      </c>
      <c r="H13" s="40">
        <f>'Перечень МКД'!J53</f>
        <v>29</v>
      </c>
      <c r="I13" s="40">
        <v>0</v>
      </c>
      <c r="J13" s="40">
        <f t="shared" si="2"/>
        <v>29</v>
      </c>
      <c r="K13" s="40">
        <v>0</v>
      </c>
      <c r="L13" s="40">
        <f>'Перечень МКД'!H53</f>
        <v>50</v>
      </c>
      <c r="M13" s="40">
        <v>0</v>
      </c>
      <c r="N13" s="40">
        <f t="shared" si="3"/>
        <v>50</v>
      </c>
    </row>
    <row r="14" spans="1:14" ht="15.75">
      <c r="A14" s="146">
        <f t="shared" si="4"/>
        <v>5</v>
      </c>
      <c r="B14" s="94" t="s">
        <v>582</v>
      </c>
      <c r="C14" s="9">
        <v>0</v>
      </c>
      <c r="D14" s="117">
        <f>'Перечень МКД'!M62</f>
        <v>2981.7599999999998</v>
      </c>
      <c r="E14" s="117">
        <f>'Перечень МКД'!M249+'Перечень МКД'!M502</f>
        <v>15374.739999999994</v>
      </c>
      <c r="F14" s="40">
        <f t="shared" si="1"/>
        <v>18356.499999999993</v>
      </c>
      <c r="G14" s="40">
        <v>0</v>
      </c>
      <c r="H14" s="118">
        <f>'Перечень МКД'!J62</f>
        <v>75</v>
      </c>
      <c r="I14" s="118">
        <f>'Перечень МКД'!J249+'Перечень МКД'!J502</f>
        <v>454</v>
      </c>
      <c r="J14" s="40">
        <f t="shared" si="2"/>
        <v>529</v>
      </c>
      <c r="K14" s="40">
        <v>0</v>
      </c>
      <c r="L14" s="118">
        <f>'Перечень МКД'!H62</f>
        <v>201</v>
      </c>
      <c r="M14" s="118">
        <f>'Перечень МКД'!H249+'Перечень МКД'!H502</f>
        <v>944</v>
      </c>
      <c r="N14" s="40">
        <f t="shared" si="3"/>
        <v>1145</v>
      </c>
    </row>
    <row r="15" spans="1:14" ht="15.75">
      <c r="A15" s="146">
        <f t="shared" si="4"/>
        <v>6</v>
      </c>
      <c r="B15" s="94" t="s">
        <v>581</v>
      </c>
      <c r="C15" s="9">
        <v>0</v>
      </c>
      <c r="D15" s="119">
        <f>'Перечень МКД'!M86</f>
        <v>1096.3200000000002</v>
      </c>
      <c r="E15" s="119">
        <f>'Перечень МКД'!M362+'Перечень МКД'!M527</f>
        <v>1087.4</v>
      </c>
      <c r="F15" s="40">
        <f t="shared" si="1"/>
        <v>2183.7200000000003</v>
      </c>
      <c r="G15" s="40">
        <v>0</v>
      </c>
      <c r="H15" s="40">
        <f>'Перечень МКД'!J86</f>
        <v>43</v>
      </c>
      <c r="I15" s="40">
        <f>'Перечень МКД'!J362+'Перечень МКД'!J527</f>
        <v>32</v>
      </c>
      <c r="J15" s="40">
        <f t="shared" si="2"/>
        <v>75</v>
      </c>
      <c r="K15" s="40">
        <v>0</v>
      </c>
      <c r="L15" s="40">
        <f>'Перечень МКД'!H86</f>
        <v>66</v>
      </c>
      <c r="M15" s="40">
        <f>'Перечень МКД'!H362+'Перечень МКД'!H527</f>
        <v>82</v>
      </c>
      <c r="N15" s="40">
        <f t="shared" si="3"/>
        <v>148</v>
      </c>
    </row>
    <row r="16" spans="1:14" ht="15.75">
      <c r="A16" s="146">
        <f t="shared" si="4"/>
        <v>7</v>
      </c>
      <c r="B16" s="94" t="s">
        <v>585</v>
      </c>
      <c r="C16" s="9">
        <v>0</v>
      </c>
      <c r="D16" s="119">
        <f>'Перечень МКД'!M88</f>
        <v>2983.6600000000003</v>
      </c>
      <c r="E16" s="119">
        <f>'Перечень МКД'!M366+'Перечень МКД'!M530</f>
        <v>4999.500000000002</v>
      </c>
      <c r="F16" s="40">
        <f t="shared" si="1"/>
        <v>7983.160000000002</v>
      </c>
      <c r="G16" s="40">
        <v>0</v>
      </c>
      <c r="H16" s="44">
        <f>'Перечень МКД'!J88</f>
        <v>108</v>
      </c>
      <c r="I16" s="44">
        <f>'Перечень МКД'!J366+'Перечень МКД'!J530</f>
        <v>147</v>
      </c>
      <c r="J16" s="40">
        <f t="shared" si="2"/>
        <v>255</v>
      </c>
      <c r="K16" s="40">
        <v>0</v>
      </c>
      <c r="L16" s="44">
        <f>'Перечень МКД'!H88</f>
        <v>331</v>
      </c>
      <c r="M16" s="40">
        <f>'Перечень МКД'!H366+'Перечень МКД'!H530</f>
        <v>408</v>
      </c>
      <c r="N16" s="40">
        <f t="shared" si="3"/>
        <v>739</v>
      </c>
    </row>
    <row r="17" spans="1:14" ht="15.75">
      <c r="A17" s="146">
        <f t="shared" si="4"/>
        <v>8</v>
      </c>
      <c r="B17" s="94" t="s">
        <v>97</v>
      </c>
      <c r="C17" s="9">
        <v>0</v>
      </c>
      <c r="D17" s="119">
        <f>'Перечень МКД'!M99</f>
        <v>2884.2999999999997</v>
      </c>
      <c r="E17" s="119">
        <f>'Перечень МКД'!M395+'Перечень МКД'!M553</f>
        <v>3558</v>
      </c>
      <c r="F17" s="40">
        <f t="shared" si="1"/>
        <v>6442.299999999999</v>
      </c>
      <c r="G17" s="40">
        <v>0</v>
      </c>
      <c r="H17" s="40">
        <f>'Перечень МКД'!J99</f>
        <v>69</v>
      </c>
      <c r="I17" s="40">
        <f>'Перечень МКД'!J395+'Перечень МКД'!J553</f>
        <v>105</v>
      </c>
      <c r="J17" s="40">
        <f t="shared" si="2"/>
        <v>174</v>
      </c>
      <c r="K17" s="40">
        <v>0</v>
      </c>
      <c r="L17" s="40">
        <f>'Перечень МКД'!H99</f>
        <v>209</v>
      </c>
      <c r="M17" s="40">
        <f>'Перечень МКД'!H395+'Перечень МКД'!H553</f>
        <v>262</v>
      </c>
      <c r="N17" s="40">
        <f t="shared" si="3"/>
        <v>471</v>
      </c>
    </row>
    <row r="18" spans="1:14" ht="15.75">
      <c r="A18" s="146">
        <f t="shared" si="4"/>
        <v>9</v>
      </c>
      <c r="B18" s="94" t="s">
        <v>98</v>
      </c>
      <c r="C18" s="9">
        <v>0</v>
      </c>
      <c r="D18" s="119">
        <f>'Перечень МКД'!M114</f>
        <v>3052.54</v>
      </c>
      <c r="E18" s="119">
        <f>'Перечень МКД'!M409+'Перечень МКД'!M566</f>
        <v>4071.3500000000004</v>
      </c>
      <c r="F18" s="40">
        <f t="shared" si="1"/>
        <v>7123.89</v>
      </c>
      <c r="G18" s="40">
        <v>0</v>
      </c>
      <c r="H18" s="44">
        <f>'Перечень МКД'!J114</f>
        <v>63</v>
      </c>
      <c r="I18" s="44">
        <f>'Перечень МКД'!J409+'Перечень МКД'!J566</f>
        <v>111</v>
      </c>
      <c r="J18" s="40">
        <f t="shared" si="2"/>
        <v>174</v>
      </c>
      <c r="K18" s="40">
        <v>0</v>
      </c>
      <c r="L18" s="44">
        <f>'Перечень МКД'!H114</f>
        <v>178</v>
      </c>
      <c r="M18" s="44">
        <f>'Перечень МКД'!H409+'Перечень МКД'!H566</f>
        <v>241</v>
      </c>
      <c r="N18" s="40">
        <f t="shared" si="3"/>
        <v>419</v>
      </c>
    </row>
    <row r="19" spans="1:14" ht="15.75">
      <c r="A19" s="146">
        <f t="shared" si="4"/>
        <v>10</v>
      </c>
      <c r="B19" s="147" t="s">
        <v>586</v>
      </c>
      <c r="C19" s="9">
        <v>0</v>
      </c>
      <c r="D19" s="121">
        <f>'Перечень МКД'!M124</f>
        <v>649.0999999999999</v>
      </c>
      <c r="E19" s="121">
        <f>'Перечень МКД'!M427+'Перечень МКД'!M581</f>
        <v>1120.9</v>
      </c>
      <c r="F19" s="40">
        <f t="shared" si="1"/>
        <v>1770</v>
      </c>
      <c r="G19" s="40">
        <v>0</v>
      </c>
      <c r="H19" s="122">
        <f>'Перечень МКД'!J124</f>
        <v>24</v>
      </c>
      <c r="I19" s="122">
        <f>'Перечень МКД'!J427+'Перечень МКД'!J581</f>
        <v>52</v>
      </c>
      <c r="J19" s="40">
        <f t="shared" si="2"/>
        <v>76</v>
      </c>
      <c r="K19" s="40">
        <v>0</v>
      </c>
      <c r="L19" s="120">
        <f>'Перечень МКД'!H124</f>
        <v>66</v>
      </c>
      <c r="M19" s="120">
        <f>'Перечень МКД'!H427+'Перечень МКД'!H581</f>
        <v>122</v>
      </c>
      <c r="N19" s="40">
        <f t="shared" si="3"/>
        <v>188</v>
      </c>
    </row>
    <row r="20" spans="1:14" ht="15.75">
      <c r="A20" s="146">
        <f t="shared" si="4"/>
        <v>11</v>
      </c>
      <c r="B20" s="94" t="s">
        <v>99</v>
      </c>
      <c r="C20" s="9">
        <v>0</v>
      </c>
      <c r="D20" s="119">
        <f>'Перечень МКД'!M130</f>
        <v>1512.1000000000004</v>
      </c>
      <c r="E20" s="119">
        <f>'Перечень МКД'!M432+'Перечень МКД'!M584</f>
        <v>3178.1000000000004</v>
      </c>
      <c r="F20" s="119">
        <f>C20+D20+E20</f>
        <v>4690.200000000001</v>
      </c>
      <c r="G20" s="40">
        <v>0</v>
      </c>
      <c r="H20" s="44">
        <f>'Перечень МКД'!J130</f>
        <v>39</v>
      </c>
      <c r="I20" s="44">
        <f>'Перечень МКД'!J432+'Перечень МКД'!J584</f>
        <v>87</v>
      </c>
      <c r="J20" s="40">
        <f t="shared" si="2"/>
        <v>126</v>
      </c>
      <c r="K20" s="40">
        <v>0</v>
      </c>
      <c r="L20" s="40">
        <f>'Перечень МКД'!H130</f>
        <v>84</v>
      </c>
      <c r="M20" s="40">
        <f>'Перечень МКД'!H432+'Перечень МКД'!H584</f>
        <v>171</v>
      </c>
      <c r="N20" s="40">
        <f t="shared" si="3"/>
        <v>255</v>
      </c>
    </row>
    <row r="21" spans="1:14" ht="15.75">
      <c r="A21" s="146">
        <f t="shared" si="4"/>
        <v>12</v>
      </c>
      <c r="B21" s="94" t="s">
        <v>100</v>
      </c>
      <c r="C21" s="9">
        <v>0</v>
      </c>
      <c r="D21" s="119">
        <f>'Перечень МКД'!M140</f>
        <v>293.45000000000005</v>
      </c>
      <c r="E21" s="119">
        <f>'Перечень МКД'!M451</f>
        <v>118.8</v>
      </c>
      <c r="F21" s="40">
        <f t="shared" si="1"/>
        <v>412.25000000000006</v>
      </c>
      <c r="G21" s="40">
        <v>0</v>
      </c>
      <c r="H21" s="40">
        <f>'Перечень МКД'!J140</f>
        <v>6</v>
      </c>
      <c r="I21" s="40">
        <f>'Перечень МКД'!J451</f>
        <v>2</v>
      </c>
      <c r="J21" s="40">
        <f t="shared" si="2"/>
        <v>8</v>
      </c>
      <c r="K21" s="40">
        <v>0</v>
      </c>
      <c r="L21" s="40">
        <f>'Перечень МКД'!H140</f>
        <v>11</v>
      </c>
      <c r="M21" s="40">
        <f>'Перечень МКД'!H451</f>
        <v>13</v>
      </c>
      <c r="N21" s="40">
        <f t="shared" si="3"/>
        <v>24</v>
      </c>
    </row>
    <row r="22" spans="1:14" ht="15.75">
      <c r="A22" s="146">
        <f t="shared" si="4"/>
        <v>13</v>
      </c>
      <c r="B22" s="147" t="s">
        <v>587</v>
      </c>
      <c r="C22" s="9">
        <v>0</v>
      </c>
      <c r="D22" s="124">
        <f>'Перечень МКД'!M144</f>
        <v>479.79999999999995</v>
      </c>
      <c r="E22" s="125">
        <v>0</v>
      </c>
      <c r="F22" s="40">
        <f t="shared" si="1"/>
        <v>479.79999999999995</v>
      </c>
      <c r="G22" s="40">
        <v>0</v>
      </c>
      <c r="H22" s="125">
        <f>'Перечень МКД'!J144</f>
        <v>12</v>
      </c>
      <c r="I22" s="125">
        <v>0</v>
      </c>
      <c r="J22" s="40">
        <f t="shared" si="2"/>
        <v>12</v>
      </c>
      <c r="K22" s="40">
        <v>0</v>
      </c>
      <c r="L22" s="125">
        <f>'Перечень МКД'!H144</f>
        <v>20</v>
      </c>
      <c r="M22" s="125">
        <v>0</v>
      </c>
      <c r="N22" s="40">
        <f t="shared" si="3"/>
        <v>20</v>
      </c>
    </row>
    <row r="23" spans="1:14" ht="21" customHeight="1">
      <c r="A23" s="146">
        <f t="shared" si="4"/>
        <v>14</v>
      </c>
      <c r="B23" s="94" t="s">
        <v>101</v>
      </c>
      <c r="C23" s="9">
        <v>0</v>
      </c>
      <c r="D23" s="119">
        <f>'Перечень МКД'!M149</f>
        <v>665.5</v>
      </c>
      <c r="E23" s="40">
        <v>0</v>
      </c>
      <c r="F23" s="40">
        <f t="shared" si="1"/>
        <v>665.5</v>
      </c>
      <c r="G23" s="40">
        <v>0</v>
      </c>
      <c r="H23" s="40">
        <f>'Перечень МКД'!J149</f>
        <v>21</v>
      </c>
      <c r="I23" s="40">
        <v>0</v>
      </c>
      <c r="J23" s="40">
        <f t="shared" si="2"/>
        <v>21</v>
      </c>
      <c r="K23" s="40">
        <v>0</v>
      </c>
      <c r="L23" s="40">
        <f>'Перечень МКД'!H149</f>
        <v>55</v>
      </c>
      <c r="M23" s="40">
        <v>0</v>
      </c>
      <c r="N23" s="40">
        <f t="shared" si="3"/>
        <v>55</v>
      </c>
    </row>
    <row r="24" spans="1:14" ht="31.5">
      <c r="A24" s="146">
        <f t="shared" si="4"/>
        <v>15</v>
      </c>
      <c r="B24" s="94" t="s">
        <v>102</v>
      </c>
      <c r="C24" s="9">
        <v>0</v>
      </c>
      <c r="D24" s="40">
        <f>'Перечень МКД'!M155</f>
        <v>438.9</v>
      </c>
      <c r="E24" s="40">
        <v>0</v>
      </c>
      <c r="F24" s="40">
        <f t="shared" si="1"/>
        <v>438.9</v>
      </c>
      <c r="G24" s="40">
        <v>0</v>
      </c>
      <c r="H24" s="40">
        <f>'Перечень МКД'!J155</f>
        <v>16</v>
      </c>
      <c r="I24" s="40">
        <v>0</v>
      </c>
      <c r="J24" s="40">
        <f t="shared" si="2"/>
        <v>16</v>
      </c>
      <c r="K24" s="40">
        <v>0</v>
      </c>
      <c r="L24" s="40">
        <f>'Перечень МКД'!H155</f>
        <v>44</v>
      </c>
      <c r="M24" s="40">
        <v>0</v>
      </c>
      <c r="N24" s="40">
        <f t="shared" si="3"/>
        <v>44</v>
      </c>
    </row>
    <row r="25" spans="1:14" ht="31.5">
      <c r="A25" s="146">
        <f t="shared" si="4"/>
        <v>16</v>
      </c>
      <c r="B25" s="94" t="s">
        <v>103</v>
      </c>
      <c r="C25" s="9">
        <v>0</v>
      </c>
      <c r="D25" s="119">
        <f>'Перечень МКД'!M160</f>
        <v>766.1899999999999</v>
      </c>
      <c r="E25" s="119">
        <f>'Перечень МКД'!M453+'Перечень МКД'!M586</f>
        <v>939.8</v>
      </c>
      <c r="F25" s="40">
        <f t="shared" si="1"/>
        <v>1705.9899999999998</v>
      </c>
      <c r="G25" s="40">
        <v>0</v>
      </c>
      <c r="H25" s="40">
        <f>'Перечень МКД'!J160</f>
        <v>24</v>
      </c>
      <c r="I25" s="44">
        <f>'Перечень МКД'!J453+'Перечень МКД'!J586</f>
        <v>45</v>
      </c>
      <c r="J25" s="40">
        <f t="shared" si="2"/>
        <v>69</v>
      </c>
      <c r="K25" s="40">
        <v>0</v>
      </c>
      <c r="L25" s="40">
        <f>'Перечень МКД'!H160</f>
        <v>57</v>
      </c>
      <c r="M25" s="40">
        <f>'Перечень МКД'!H453+'Перечень МКД'!H586</f>
        <v>113</v>
      </c>
      <c r="N25" s="40">
        <f t="shared" si="3"/>
        <v>170</v>
      </c>
    </row>
    <row r="26" spans="1:14" ht="15.75">
      <c r="A26" s="146">
        <f t="shared" si="4"/>
        <v>17</v>
      </c>
      <c r="B26" s="94" t="s">
        <v>638</v>
      </c>
      <c r="C26" s="9">
        <v>0</v>
      </c>
      <c r="D26" s="119">
        <f>'Перечень МКД'!M168</f>
        <v>1819.4099999999999</v>
      </c>
      <c r="E26" s="119">
        <f>'Перечень МКД'!M458+'Перечень МКД'!M589</f>
        <v>1599.6399999999999</v>
      </c>
      <c r="F26" s="40">
        <f t="shared" si="1"/>
        <v>3419.0499999999997</v>
      </c>
      <c r="G26" s="40">
        <v>0</v>
      </c>
      <c r="H26" s="40">
        <f>'Перечень МКД'!J168</f>
        <v>50</v>
      </c>
      <c r="I26" s="44">
        <f>'Перечень МКД'!J458+'Перечень МКД'!J589</f>
        <v>38</v>
      </c>
      <c r="J26" s="40">
        <f t="shared" si="2"/>
        <v>88</v>
      </c>
      <c r="K26" s="40">
        <v>0</v>
      </c>
      <c r="L26" s="40">
        <f>'Перечень МКД'!H168</f>
        <v>126</v>
      </c>
      <c r="M26" s="44">
        <f>'Перечень МКД'!H458+'Перечень МКД'!H589</f>
        <v>81</v>
      </c>
      <c r="N26" s="40">
        <f t="shared" si="3"/>
        <v>207</v>
      </c>
    </row>
    <row r="27" spans="1:14" ht="15.75">
      <c r="A27" s="146">
        <f t="shared" si="4"/>
        <v>18</v>
      </c>
      <c r="B27" s="94" t="s">
        <v>104</v>
      </c>
      <c r="C27" s="9">
        <v>0</v>
      </c>
      <c r="D27" s="119">
        <f>'Перечень МКД'!M181</f>
        <v>529.3</v>
      </c>
      <c r="E27" s="119">
        <f>'Перечень МКД'!M465+'Перечень МКД'!M596</f>
        <v>3495.7999999999997</v>
      </c>
      <c r="F27" s="40">
        <f t="shared" si="1"/>
        <v>4025.0999999999995</v>
      </c>
      <c r="G27" s="40">
        <v>0</v>
      </c>
      <c r="H27" s="40">
        <f>'Перечень МКД'!J181</f>
        <v>14</v>
      </c>
      <c r="I27" s="40">
        <f>'Перечень МКД'!J465+'Перечень МКД'!J596</f>
        <v>81</v>
      </c>
      <c r="J27" s="40">
        <f t="shared" si="2"/>
        <v>95</v>
      </c>
      <c r="K27" s="40">
        <v>0</v>
      </c>
      <c r="L27" s="40">
        <f>'Перечень МКД'!G181</f>
        <v>38</v>
      </c>
      <c r="M27" s="40">
        <f>'Перечень МКД'!H465+'Перечень МКД'!H596</f>
        <v>203</v>
      </c>
      <c r="N27" s="40">
        <f t="shared" si="3"/>
        <v>241</v>
      </c>
    </row>
    <row r="28" spans="1:14" ht="31.5">
      <c r="A28" s="146">
        <f t="shared" si="4"/>
        <v>19</v>
      </c>
      <c r="B28" s="94" t="s">
        <v>105</v>
      </c>
      <c r="C28" s="9">
        <v>0</v>
      </c>
      <c r="D28" s="119">
        <f>'Перечень МКД'!M184</f>
        <v>614.1999999999999</v>
      </c>
      <c r="E28" s="40">
        <v>0</v>
      </c>
      <c r="F28" s="40">
        <f t="shared" si="1"/>
        <v>614.1999999999999</v>
      </c>
      <c r="G28" s="40">
        <v>0</v>
      </c>
      <c r="H28" s="40">
        <f>'Перечень МКД'!J184</f>
        <v>20</v>
      </c>
      <c r="I28" s="40">
        <v>0</v>
      </c>
      <c r="J28" s="40">
        <f t="shared" si="2"/>
        <v>20</v>
      </c>
      <c r="K28" s="40">
        <v>0</v>
      </c>
      <c r="L28" s="40">
        <f>'Перечень МКД'!H184</f>
        <v>57</v>
      </c>
      <c r="M28" s="40">
        <v>0</v>
      </c>
      <c r="N28" s="40">
        <f t="shared" si="3"/>
        <v>57</v>
      </c>
    </row>
    <row r="29" spans="1:14" ht="15.75">
      <c r="A29" s="146">
        <f t="shared" si="4"/>
        <v>20</v>
      </c>
      <c r="B29" s="94" t="s">
        <v>589</v>
      </c>
      <c r="C29" s="9">
        <v>0</v>
      </c>
      <c r="D29" s="59">
        <f>'Перечень МКД'!M195</f>
        <v>381.6</v>
      </c>
      <c r="E29" s="58">
        <v>0</v>
      </c>
      <c r="F29" s="40">
        <f t="shared" si="1"/>
        <v>381.6</v>
      </c>
      <c r="G29" s="40">
        <v>0</v>
      </c>
      <c r="H29" s="58">
        <f>'Перечень МКД'!J195</f>
        <v>8</v>
      </c>
      <c r="I29" s="58">
        <v>0</v>
      </c>
      <c r="J29" s="40">
        <f t="shared" si="2"/>
        <v>8</v>
      </c>
      <c r="K29" s="40">
        <v>0</v>
      </c>
      <c r="L29" s="58">
        <f>'Перечень МКД'!H196</f>
        <v>21</v>
      </c>
      <c r="M29" s="58">
        <v>0</v>
      </c>
      <c r="N29" s="40">
        <f t="shared" si="3"/>
        <v>21</v>
      </c>
    </row>
    <row r="30" spans="1:14" ht="15.75">
      <c r="A30" s="146">
        <f t="shared" si="4"/>
        <v>21</v>
      </c>
      <c r="B30" s="94" t="s">
        <v>590</v>
      </c>
      <c r="C30" s="9">
        <v>0</v>
      </c>
      <c r="D30" s="119">
        <f>'Перечень МКД'!M197</f>
        <v>733.3</v>
      </c>
      <c r="E30" s="119">
        <f>'Перечень МКД'!M471+'Перечень МКД'!M602</f>
        <v>761</v>
      </c>
      <c r="F30" s="40">
        <f t="shared" si="1"/>
        <v>1494.3</v>
      </c>
      <c r="G30" s="40">
        <v>0</v>
      </c>
      <c r="H30" s="40">
        <f>'Перечень МКД'!J197</f>
        <v>16</v>
      </c>
      <c r="I30" s="40">
        <f>'Перечень МКД'!J471+'Перечень МКД'!J602</f>
        <v>21</v>
      </c>
      <c r="J30" s="40">
        <f t="shared" si="2"/>
        <v>37</v>
      </c>
      <c r="K30" s="40">
        <v>0</v>
      </c>
      <c r="L30" s="40">
        <f>'Перечень МКД'!H197</f>
        <v>34</v>
      </c>
      <c r="M30" s="40">
        <f>'Перечень МКД'!H471+'Перечень МКД'!H602</f>
        <v>56</v>
      </c>
      <c r="N30" s="40">
        <f t="shared" si="3"/>
        <v>90</v>
      </c>
    </row>
    <row r="32" spans="2:5" ht="18.75">
      <c r="B32" s="141" t="s">
        <v>645</v>
      </c>
      <c r="C32" s="141"/>
      <c r="D32" s="141"/>
      <c r="E32" s="141"/>
    </row>
    <row r="33" spans="2:5" ht="18.75">
      <c r="B33" s="141" t="s">
        <v>704</v>
      </c>
      <c r="C33" s="141"/>
      <c r="D33" s="141"/>
      <c r="E33" s="141"/>
    </row>
  </sheetData>
  <sheetProtection/>
  <mergeCells count="8">
    <mergeCell ref="G1:N1"/>
    <mergeCell ref="A2:N2"/>
    <mergeCell ref="A3:N3"/>
    <mergeCell ref="A5:A7"/>
    <mergeCell ref="B5:B7"/>
    <mergeCell ref="C5:F5"/>
    <mergeCell ref="G5:J5"/>
    <mergeCell ref="K5:N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2013-12-09T10:58:58Z</dcterms:created>
  <dcterms:modified xsi:type="dcterms:W3CDTF">2013-12-09T10:59:02Z</dcterms:modified>
  <cp:category/>
  <cp:version/>
  <cp:contentType/>
  <cp:contentStatus/>
</cp:coreProperties>
</file>