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" sheetId="1" r:id="rId1"/>
    <sheet name="Для Таксиста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<sst xmlns="http://schemas.openxmlformats.org/spreadsheetml/2006/main" count="111" uniqueCount="92">
  <si>
    <t>охлаждающая жидкость - 1.500 рублей</t>
  </si>
  <si>
    <t>давайте возьмем среднюю поездку в 12 километров - это 180 рублей минималки (2 км) + 5 километров оп 15 рублей - 180 + 75 ~ 250 - согласитесь это сейчас факт, даже занижено (в вашу же сторону, так как по слухам средняя поездка - больше 7 километров, сейчас не буду искать ссылку, но Алексей как-то мимоходом рассказывал что это 10-12 километров).</t>
  </si>
  <si>
    <t>Добавим холостой перепробег (ну не всегда заказ рядом, но и через полгорода ездить за ним нелогично и не проблемы клиента) - пусть будет 1,5 - это 7*1,5 = 11 километров, или 22,72 рубля/километр _в_среднем_ стоит один километр того, как вы подаете машину клиенту и его везете.</t>
  </si>
  <si>
    <t>Давайте добавим диспетчерские - 40 рублей с поездки, по 11 километров в среднем это будет 363.636 рублей. (100.000/11*30 = 363 тыс. рублей)</t>
  </si>
  <si>
    <t>Итого ваша доход (revenue) со ста тысяч "клиентских километров" будет 2.272.727 руб (да, 2,2 миллиона рублей).</t>
  </si>
  <si>
    <t>На сто тысяч "клиентских километров" вы сожжете бензина на 250.000 рублей (по норме 12 литров на сотню 100.000/12*30=250.000, при стоимости бензина 30(!) рублей за литр в среднем).</t>
  </si>
  <si>
    <t>Итого, при вложениях "в расходники" и "в бензин", у вас на 250.000+42.150 + 363.636=655.786 рублей себестоимость, доход (revenue) ~ 2,2 миллиона рублей (из которых вы НЕ ПЛАТИТЕ ни копейки налогов, кстати).</t>
  </si>
  <si>
    <t>Да, я считаю, что все 100.000 километров вы везете клиента, потому что ваши желания покататься и и ваши расходы на это - это ваши расходы.</t>
  </si>
  <si>
    <t>Процент доходности посчитаете сами? Нет? Ну так я вам могу сейчас произвести простую математическую операцию - 2.272.727 / 655.786 * 100% = 346% прибыльность.</t>
  </si>
  <si>
    <t>Давайте исходить из ваших данных - 10 заказов в сутки, это 110 километров в среднем "клиентского пробега", который вам оплачивает клиент (подача + перевозка).</t>
  </si>
  <si>
    <t>100.000 километров вы откатаете за ~ 909 дней работы, или за 30 месяцев. Ваша прибыль (profit, without any state taxes, или по русски - чистый доход, без каких-либо налогов и сборов) будет 2.272.727 - 655.786 = 1.616.941 (один миллион шестьсот шестнадцать тысяч), или в среднем ~ 53 тысячи рублей в месяц. Поверьте, это очень хороший доход для Новосибирска для человека со средне-специальным образованием.</t>
  </si>
  <si>
    <t>1100*10</t>
  </si>
  <si>
    <t>10 смен масла</t>
  </si>
  <si>
    <t>200*7</t>
  </si>
  <si>
    <t>7 воздушных фильтров</t>
  </si>
  <si>
    <t>500*7</t>
  </si>
  <si>
    <t>7 комплектов свечей</t>
  </si>
  <si>
    <t>500*2,5</t>
  </si>
  <si>
    <t>2,5 топливных фильтра</t>
  </si>
  <si>
    <t>1200*2,5</t>
  </si>
  <si>
    <t>2,5 замены масла АКПП</t>
  </si>
  <si>
    <t>600*2</t>
  </si>
  <si>
    <t>ремень ГРМ</t>
  </si>
  <si>
    <t>1100*1</t>
  </si>
  <si>
    <t>1000*2</t>
  </si>
  <si>
    <t>ремень навесного</t>
  </si>
  <si>
    <t>1500*1</t>
  </si>
  <si>
    <t>2*1200</t>
  </si>
  <si>
    <t>задние колодки</t>
  </si>
  <si>
    <t>ТО</t>
  </si>
  <si>
    <t>1500*10</t>
  </si>
  <si>
    <t>Условия:</t>
  </si>
  <si>
    <t>Среднее количество заказов - 8 шт</t>
  </si>
  <si>
    <t>Средний километраж за смену - 8*20=160 км</t>
  </si>
  <si>
    <t>Средняя цена поездки - 250 руб (данные Евгения)</t>
  </si>
  <si>
    <t>Средняя дальность заказа (поездки) для расчета стоимости поездки - 12 км (данные Евгения)</t>
  </si>
  <si>
    <t>Доходная часть</t>
  </si>
  <si>
    <t>250*8*625</t>
  </si>
  <si>
    <t>Расходная часть</t>
  </si>
  <si>
    <t>40*8*625</t>
  </si>
  <si>
    <t>количество литров на 100 000 км = (100 000/100)*10 = 10 000 л</t>
  </si>
  <si>
    <t>6000*2</t>
  </si>
  <si>
    <r>
      <t>Диспетчерские</t>
    </r>
    <r>
      <rPr>
        <sz val="10"/>
        <rFont val="Arial"/>
        <family val="2"/>
      </rPr>
      <t xml:space="preserve"> по 40р с каждого заказа</t>
    </r>
  </si>
  <si>
    <t>Списание первоначальной стоимости авто</t>
  </si>
  <si>
    <t>срок эксплуатации - 10 лет (120 месяцев)</t>
  </si>
  <si>
    <t>амортизация в месяц = 300 000/120=2500</t>
  </si>
  <si>
    <t>средняя стоимость авто - 300 000 руб</t>
  </si>
  <si>
    <t>Расходные материалы на 100 000 км, всего</t>
  </si>
  <si>
    <t>масло редукторов</t>
  </si>
  <si>
    <t>100 000 клиентских километров при среднем километраже за смену 160 км водитель такси откатает за 625 смен (100 000/160)</t>
  </si>
  <si>
    <r>
      <t>Доходы</t>
    </r>
    <r>
      <rPr>
        <sz val="10"/>
        <rFont val="Arial"/>
        <family val="2"/>
      </rPr>
      <t xml:space="preserve"> за расчетный период (средняя цена поездки*количество заказов*количество смен)</t>
    </r>
  </si>
  <si>
    <r>
      <t>Бензин</t>
    </r>
    <r>
      <rPr>
        <sz val="10"/>
        <rFont val="Arial"/>
        <family val="2"/>
      </rPr>
      <t xml:space="preserve"> (26р/л, расход 10л на 100 км) </t>
    </r>
  </si>
  <si>
    <t>10 000л*26руб/л</t>
  </si>
  <si>
    <r>
      <t>ТО+страховка</t>
    </r>
    <r>
      <rPr>
        <sz val="10"/>
        <rFont val="Arial"/>
        <family val="2"/>
      </rPr>
      <t xml:space="preserve"> (на 2 года)</t>
    </r>
  </si>
  <si>
    <t>1 250 000-515 350</t>
  </si>
  <si>
    <t>734 650/(625/25)</t>
  </si>
  <si>
    <t>29 386-2500</t>
  </si>
  <si>
    <t>Чистый доход водителя в месяц без учета стоимости авто</t>
  </si>
  <si>
    <t>Чистый доход водителя в месяц с учетом стоимости авто</t>
  </si>
  <si>
    <r>
      <t>Прибыль</t>
    </r>
    <r>
      <rPr>
        <sz val="10"/>
        <rFont val="Arial"/>
        <family val="0"/>
      </rPr>
      <t xml:space="preserve"> водителя (доходы-расходы) всего за 625 смен</t>
    </r>
  </si>
  <si>
    <r>
      <t>Прибыль</t>
    </r>
    <r>
      <rPr>
        <sz val="10"/>
        <rFont val="Arial"/>
        <family val="0"/>
      </rPr>
      <t xml:space="preserve"> водителя за месяц (в среднем 25 смен в месяце) - прибыль за расчетный период/кол-во месяцев (625/25)</t>
    </r>
  </si>
  <si>
    <t>Расчет стоимости на 100 000 "клиентских" километров</t>
  </si>
  <si>
    <t>Средняя дальность поездки с учетом холостого пробега (для расчета общего километража за смену) - 20 км</t>
  </si>
  <si>
    <t>давайте возьмем среднюю поездку в 12 километров - это 180 рублей минималки (2 км) + 5 километров оп 15 рублей - 180 + 75 ~ 250 - согласитесь это сейчас факт, даже занижено (в вашу же сторону, так как по слухам средняя поездка - больше 7 километров, сейчас</t>
  </si>
  <si>
    <t xml:space="preserve">Добавим холостой перепробег (ну не всегда заказ рядом, но и через полгорода ездить за ним нелогично и не проблемы клиента) - пусть будет 1,5 - это 7*1,5 = 11 километров, или 22,72 рубля/километр _в_среднем_ стоит один километр того, как вы подаете машину </t>
  </si>
  <si>
    <t>100.000 километров вы откатаете за ~ 909 дней работы, или за 30 месяцев. Ваша прибыль (profit, without any state taxes, или по русски - чистый доход, без каких-либо налогов и сборов) будет 2.272.727 - 655.786 = 1.616.941 (один миллион шестьсот шестнадцать</t>
  </si>
  <si>
    <t xml:space="preserve">Средняя цена поездки - 185 руб </t>
  </si>
  <si>
    <t>Среднее количество заказов - 17 шт</t>
  </si>
  <si>
    <t>100 000 клиентских километров при среднем километраже за смену 500 км водитель такси откатает за 200 смен (100 000/500)</t>
  </si>
  <si>
    <t>185*17*200</t>
  </si>
  <si>
    <t>Средняя дальность заказа (поездки) для расчета стоимости поездки - 29,4 км</t>
  </si>
  <si>
    <t>Средний километраж за смену - 17*29,4=500 км</t>
  </si>
  <si>
    <t>40*17*200</t>
  </si>
  <si>
    <r>
      <t>Газ</t>
    </r>
    <r>
      <rPr>
        <sz val="10"/>
        <rFont val="Arial"/>
        <family val="2"/>
      </rPr>
      <t xml:space="preserve"> (15р/л, расход 11л на 100 км) </t>
    </r>
  </si>
  <si>
    <t>количество литров на 100 000 км = (100 000/100)*11 = 11 000 л</t>
  </si>
  <si>
    <t>11 000л*15руб/л</t>
  </si>
  <si>
    <r>
      <t>ТО+страховка</t>
    </r>
    <r>
      <rPr>
        <sz val="10"/>
        <rFont val="Arial"/>
        <family val="2"/>
      </rPr>
      <t xml:space="preserve"> (на 1 год)</t>
    </r>
  </si>
  <si>
    <t>6000*1</t>
  </si>
  <si>
    <t>Расходные материалы по 20 000 в месяц, на 8 месяцев (200 смен/25 смен в месяц)</t>
  </si>
  <si>
    <t>8*20000</t>
  </si>
  <si>
    <t>629 000-467 000</t>
  </si>
  <si>
    <r>
      <t>Прибыль</t>
    </r>
    <r>
      <rPr>
        <sz val="10"/>
        <rFont val="Arial"/>
        <family val="0"/>
      </rPr>
      <t xml:space="preserve"> водителя (доходы-расходы) всего за 200 смен</t>
    </r>
  </si>
  <si>
    <r>
      <t>Прибыль</t>
    </r>
    <r>
      <rPr>
        <sz val="10"/>
        <rFont val="Arial"/>
        <family val="0"/>
      </rPr>
      <t xml:space="preserve"> водителя за месяц (в среднем 25 смен в месяце) - прибыль за расчетный период/кол-во месяцев (200/25)</t>
    </r>
  </si>
  <si>
    <t>162 000/(200/25)</t>
  </si>
  <si>
    <t>20 250- 2500</t>
  </si>
  <si>
    <t xml:space="preserve">Себестоимость одного км </t>
  </si>
  <si>
    <t>Доход с одного заказа</t>
  </si>
  <si>
    <t>Количество заказов в расчетном периоде 3400 (17*200 смен)</t>
  </si>
  <si>
    <t>625 000/3400</t>
  </si>
  <si>
    <t>467 000/3400</t>
  </si>
  <si>
    <t>Чистая прибыль с одного заказа</t>
  </si>
  <si>
    <t>Рентабельность перевозок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</si>
</sst>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0.000000"/>
    <numFmt numFmtId="187" formatCode="0.00000"/>
    <numFmt numFmtId="188" formatCode="0.0000"/>
    <numFmt numFmtId="189" formatCode="0.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5" fontId="1" fillId="0" borderId="0" xfId="18" applyNumberFormat="1" applyFont="1" applyAlignment="1">
      <alignment/>
    </xf>
    <xf numFmtId="0" fontId="3" fillId="0" borderId="0" xfId="0" applyFont="1" applyAlignment="1">
      <alignment/>
    </xf>
    <xf numFmtId="185" fontId="1" fillId="2" borderId="0" xfId="0" applyNumberFormat="1" applyFont="1" applyFill="1" applyAlignment="1">
      <alignment/>
    </xf>
    <xf numFmtId="185" fontId="1" fillId="2" borderId="0" xfId="18" applyNumberFormat="1" applyFont="1" applyFill="1" applyAlignment="1">
      <alignment/>
    </xf>
    <xf numFmtId="3" fontId="0" fillId="0" borderId="0" xfId="0" applyNumberFormat="1" applyAlignment="1">
      <alignment/>
    </xf>
    <xf numFmtId="3" fontId="1" fillId="3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wrapText="1"/>
    </xf>
    <xf numFmtId="185" fontId="1" fillId="3" borderId="0" xfId="18" applyNumberFormat="1" applyFont="1" applyFill="1" applyAlignment="1">
      <alignment/>
    </xf>
    <xf numFmtId="185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17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0">
      <selection activeCell="C37" sqref="C37"/>
    </sheetView>
  </sheetViews>
  <sheetFormatPr defaultColWidth="9.140625" defaultRowHeight="12.75"/>
  <cols>
    <col min="1" max="1" width="85.28125" style="0" customWidth="1"/>
    <col min="2" max="2" width="16.8515625" style="0" customWidth="1"/>
    <col min="3" max="3" width="15.8515625" style="0" customWidth="1"/>
  </cols>
  <sheetData>
    <row r="1" ht="12.75">
      <c r="A1" s="1" t="s">
        <v>61</v>
      </c>
    </row>
    <row r="2" ht="12.75">
      <c r="A2" s="11" t="s">
        <v>31</v>
      </c>
    </row>
    <row r="3" ht="12.75">
      <c r="A3" s="3" t="s">
        <v>35</v>
      </c>
    </row>
    <row r="4" ht="12.75">
      <c r="A4" s="3" t="s">
        <v>62</v>
      </c>
    </row>
    <row r="5" ht="12.75">
      <c r="A5" s="3" t="s">
        <v>32</v>
      </c>
    </row>
    <row r="6" ht="12.75">
      <c r="A6" s="3" t="s">
        <v>33</v>
      </c>
    </row>
    <row r="7" ht="12.75">
      <c r="A7" s="3" t="s">
        <v>34</v>
      </c>
    </row>
    <row r="8" ht="12.75">
      <c r="A8" s="3" t="s">
        <v>49</v>
      </c>
    </row>
    <row r="10" ht="12.75">
      <c r="A10" s="10" t="s">
        <v>36</v>
      </c>
    </row>
    <row r="11" spans="1:3" ht="15" customHeight="1">
      <c r="A11" s="1" t="s">
        <v>50</v>
      </c>
      <c r="B11" t="s">
        <v>37</v>
      </c>
      <c r="C11" s="7">
        <f>250*8*625</f>
        <v>1250000</v>
      </c>
    </row>
    <row r="12" ht="12.75">
      <c r="A12" s="1"/>
    </row>
    <row r="13" spans="1:3" ht="12.75">
      <c r="A13" s="11" t="s">
        <v>38</v>
      </c>
      <c r="C13" s="6">
        <f>C14+C15+C17+C18</f>
        <v>515350</v>
      </c>
    </row>
    <row r="14" spans="1:5" ht="12.75">
      <c r="A14" s="1" t="s">
        <v>42</v>
      </c>
      <c r="B14" t="s">
        <v>39</v>
      </c>
      <c r="C14" s="4">
        <f>40*8*625</f>
        <v>200000</v>
      </c>
      <c r="E14">
        <f>D15/C13</f>
        <v>0.892597263995343</v>
      </c>
    </row>
    <row r="15" spans="1:4" ht="12.75">
      <c r="A15" s="1" t="s">
        <v>51</v>
      </c>
      <c r="B15" t="s">
        <v>52</v>
      </c>
      <c r="C15" s="4">
        <f>10000*26</f>
        <v>260000</v>
      </c>
      <c r="D15" s="14">
        <f>SUM(C14:C15)</f>
        <v>460000</v>
      </c>
    </row>
    <row r="16" ht="12.75">
      <c r="A16" s="2" t="s">
        <v>40</v>
      </c>
    </row>
    <row r="17" spans="1:3" ht="12.75">
      <c r="A17" s="1" t="s">
        <v>53</v>
      </c>
      <c r="B17" t="s">
        <v>41</v>
      </c>
      <c r="C17" s="4">
        <f>6000*2</f>
        <v>12000</v>
      </c>
    </row>
    <row r="18" spans="1:3" ht="12.75">
      <c r="A18" s="5" t="s">
        <v>47</v>
      </c>
      <c r="C18" s="4">
        <f>SUM(C19:C29)</f>
        <v>43350</v>
      </c>
    </row>
    <row r="19" spans="1:3" ht="12.75">
      <c r="A19" t="s">
        <v>12</v>
      </c>
      <c r="B19" t="s">
        <v>11</v>
      </c>
      <c r="C19">
        <f>1100*10</f>
        <v>11000</v>
      </c>
    </row>
    <row r="20" spans="1:3" ht="12.75">
      <c r="A20" t="s">
        <v>14</v>
      </c>
      <c r="B20" t="s">
        <v>13</v>
      </c>
      <c r="C20">
        <f>200*7</f>
        <v>1400</v>
      </c>
    </row>
    <row r="21" spans="1:3" ht="12.75">
      <c r="A21" t="s">
        <v>16</v>
      </c>
      <c r="B21" t="s">
        <v>15</v>
      </c>
      <c r="C21">
        <f>500*7</f>
        <v>3500</v>
      </c>
    </row>
    <row r="22" spans="1:3" ht="12.75">
      <c r="A22" t="s">
        <v>18</v>
      </c>
      <c r="B22" t="s">
        <v>17</v>
      </c>
      <c r="C22">
        <f>500*2.5</f>
        <v>1250</v>
      </c>
    </row>
    <row r="23" spans="1:3" ht="12.75">
      <c r="A23" t="s">
        <v>20</v>
      </c>
      <c r="B23" t="s">
        <v>19</v>
      </c>
      <c r="C23">
        <f>1200*2.5</f>
        <v>3000</v>
      </c>
    </row>
    <row r="24" spans="1:3" ht="12.75">
      <c r="A24" t="s">
        <v>48</v>
      </c>
      <c r="B24" t="s">
        <v>21</v>
      </c>
      <c r="C24">
        <f>600*2</f>
        <v>1200</v>
      </c>
    </row>
    <row r="25" spans="1:3" ht="12.75">
      <c r="A25" t="s">
        <v>22</v>
      </c>
      <c r="B25" t="s">
        <v>23</v>
      </c>
      <c r="C25">
        <f>1100*1</f>
        <v>1100</v>
      </c>
    </row>
    <row r="26" spans="1:3" ht="12.75">
      <c r="A26" t="s">
        <v>25</v>
      </c>
      <c r="B26" t="s">
        <v>24</v>
      </c>
      <c r="C26">
        <f>1000*2</f>
        <v>2000</v>
      </c>
    </row>
    <row r="27" spans="1:3" ht="12.75">
      <c r="A27" t="s">
        <v>0</v>
      </c>
      <c r="B27" t="s">
        <v>26</v>
      </c>
      <c r="C27">
        <f>1500*1</f>
        <v>1500</v>
      </c>
    </row>
    <row r="28" spans="1:3" ht="12.75">
      <c r="A28" t="s">
        <v>28</v>
      </c>
      <c r="B28" t="s">
        <v>27</v>
      </c>
      <c r="C28">
        <f>2*1200</f>
        <v>2400</v>
      </c>
    </row>
    <row r="29" spans="1:3" ht="12.75">
      <c r="A29" t="s">
        <v>29</v>
      </c>
      <c r="B29" t="s">
        <v>30</v>
      </c>
      <c r="C29">
        <f>1500*10</f>
        <v>15000</v>
      </c>
    </row>
    <row r="31" spans="1:3" ht="12.75">
      <c r="A31" s="10" t="s">
        <v>59</v>
      </c>
      <c r="B31" t="s">
        <v>54</v>
      </c>
      <c r="C31" s="7">
        <f>C11-C13</f>
        <v>734650</v>
      </c>
    </row>
    <row r="32" spans="1:4" ht="25.5">
      <c r="A32" s="12" t="s">
        <v>60</v>
      </c>
      <c r="B32" s="8" t="s">
        <v>55</v>
      </c>
      <c r="C32" s="9">
        <f>C31/(625/25)</f>
        <v>29386</v>
      </c>
      <c r="D32" t="s">
        <v>57</v>
      </c>
    </row>
    <row r="34" ht="12.75">
      <c r="A34" s="5" t="s">
        <v>43</v>
      </c>
    </row>
    <row r="35" ht="12.75">
      <c r="A35" t="s">
        <v>44</v>
      </c>
    </row>
    <row r="36" ht="12.75">
      <c r="A36" t="s">
        <v>46</v>
      </c>
    </row>
    <row r="37" spans="1:4" ht="12.75">
      <c r="A37" t="s">
        <v>45</v>
      </c>
      <c r="B37" t="s">
        <v>56</v>
      </c>
      <c r="C37" s="13">
        <f>C32-2500</f>
        <v>26886</v>
      </c>
      <c r="D37" t="s">
        <v>58</v>
      </c>
    </row>
    <row r="59" ht="12.75">
      <c r="A59" t="s">
        <v>1</v>
      </c>
    </row>
    <row r="60" ht="12.75">
      <c r="A60" t="s">
        <v>2</v>
      </c>
    </row>
    <row r="61" ht="12.75">
      <c r="A61" t="s">
        <v>3</v>
      </c>
    </row>
    <row r="63" ht="12.75">
      <c r="A63" t="s">
        <v>4</v>
      </c>
    </row>
    <row r="64" ht="12.75">
      <c r="A64" t="s">
        <v>5</v>
      </c>
    </row>
    <row r="66" ht="12.75">
      <c r="A66" t="s">
        <v>6</v>
      </c>
    </row>
    <row r="68" ht="12.75">
      <c r="A68" t="s">
        <v>7</v>
      </c>
    </row>
    <row r="70" ht="12.75">
      <c r="A70" t="s">
        <v>8</v>
      </c>
    </row>
    <row r="71" ht="12.75">
      <c r="A71" t="s">
        <v>9</v>
      </c>
    </row>
    <row r="72" ht="12.75">
      <c r="A72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4">
      <selection activeCell="A28" sqref="A28"/>
    </sheetView>
  </sheetViews>
  <sheetFormatPr defaultColWidth="9.140625" defaultRowHeight="12.75"/>
  <cols>
    <col min="1" max="1" width="85.28125" style="0" customWidth="1"/>
    <col min="2" max="2" width="16.8515625" style="0" customWidth="1"/>
    <col min="3" max="3" width="15.8515625" style="0" customWidth="1"/>
  </cols>
  <sheetData>
    <row r="1" ht="12.75">
      <c r="A1" s="1" t="s">
        <v>61</v>
      </c>
    </row>
    <row r="2" ht="12.75">
      <c r="A2" s="11" t="s">
        <v>31</v>
      </c>
    </row>
    <row r="3" ht="12.75">
      <c r="A3" s="3" t="s">
        <v>70</v>
      </c>
    </row>
    <row r="4" ht="12.75">
      <c r="A4" s="3" t="s">
        <v>67</v>
      </c>
    </row>
    <row r="5" ht="12.75">
      <c r="A5" s="3" t="s">
        <v>71</v>
      </c>
    </row>
    <row r="6" ht="12.75">
      <c r="A6" s="3" t="s">
        <v>66</v>
      </c>
    </row>
    <row r="7" ht="12.75">
      <c r="A7" s="3" t="s">
        <v>68</v>
      </c>
    </row>
    <row r="8" ht="12.75">
      <c r="A8" s="3" t="s">
        <v>87</v>
      </c>
    </row>
    <row r="9" ht="12.75">
      <c r="A9" s="10" t="s">
        <v>36</v>
      </c>
    </row>
    <row r="10" spans="1:3" ht="15" customHeight="1">
      <c r="A10" s="1" t="s">
        <v>50</v>
      </c>
      <c r="B10" t="s">
        <v>69</v>
      </c>
      <c r="C10" s="7">
        <f>185*17*200</f>
        <v>629000</v>
      </c>
    </row>
    <row r="11" ht="12.75">
      <c r="A11" s="1"/>
    </row>
    <row r="12" spans="1:3" ht="12.75">
      <c r="A12" s="11" t="s">
        <v>38</v>
      </c>
      <c r="C12" s="6">
        <f>C13+C14+C16+C17</f>
        <v>467000</v>
      </c>
    </row>
    <row r="13" spans="1:3" ht="12.75">
      <c r="A13" s="1" t="s">
        <v>42</v>
      </c>
      <c r="B13" t="s">
        <v>72</v>
      </c>
      <c r="C13" s="4">
        <f>40*17*200</f>
        <v>136000</v>
      </c>
    </row>
    <row r="14" spans="1:4" ht="12.75">
      <c r="A14" s="1" t="s">
        <v>73</v>
      </c>
      <c r="B14" t="s">
        <v>75</v>
      </c>
      <c r="C14" s="4">
        <f>11000*15</f>
        <v>165000</v>
      </c>
      <c r="D14" s="14"/>
    </row>
    <row r="15" ht="12.75">
      <c r="A15" s="2" t="s">
        <v>74</v>
      </c>
    </row>
    <row r="16" spans="1:3" ht="12.75">
      <c r="A16" s="1" t="s">
        <v>76</v>
      </c>
      <c r="B16" t="s">
        <v>77</v>
      </c>
      <c r="C16" s="4">
        <f>6000*1</f>
        <v>6000</v>
      </c>
    </row>
    <row r="17" spans="1:3" ht="12.75">
      <c r="A17" s="5" t="s">
        <v>78</v>
      </c>
      <c r="B17" t="s">
        <v>79</v>
      </c>
      <c r="C17" s="4">
        <f>8*20000</f>
        <v>160000</v>
      </c>
    </row>
    <row r="19" spans="1:3" ht="12.75">
      <c r="A19" s="10" t="s">
        <v>81</v>
      </c>
      <c r="B19" t="s">
        <v>80</v>
      </c>
      <c r="C19" s="7">
        <f>C10-C12</f>
        <v>162000</v>
      </c>
    </row>
    <row r="20" spans="1:4" ht="25.5">
      <c r="A20" s="12" t="s">
        <v>82</v>
      </c>
      <c r="B20" s="8" t="s">
        <v>83</v>
      </c>
      <c r="C20" s="9">
        <f>C19/8</f>
        <v>20250</v>
      </c>
      <c r="D20" t="s">
        <v>57</v>
      </c>
    </row>
    <row r="22" ht="12.75">
      <c r="A22" s="5" t="s">
        <v>43</v>
      </c>
    </row>
    <row r="23" ht="12.75">
      <c r="A23" t="s">
        <v>44</v>
      </c>
    </row>
    <row r="24" ht="12.75">
      <c r="A24" t="s">
        <v>46</v>
      </c>
    </row>
    <row r="25" spans="1:4" ht="12.75">
      <c r="A25" t="s">
        <v>45</v>
      </c>
      <c r="B25" t="s">
        <v>84</v>
      </c>
      <c r="C25" s="13">
        <f>C20-2500</f>
        <v>17750</v>
      </c>
      <c r="D25" t="s">
        <v>58</v>
      </c>
    </row>
    <row r="27" spans="1:3" ht="12.75">
      <c r="A27" t="s">
        <v>86</v>
      </c>
      <c r="B27" t="s">
        <v>88</v>
      </c>
      <c r="C27" s="15">
        <f>625000/3400</f>
        <v>183.8235294117647</v>
      </c>
    </row>
    <row r="28" spans="1:3" ht="12.75">
      <c r="A28" t="s">
        <v>85</v>
      </c>
      <c r="B28" t="s">
        <v>89</v>
      </c>
      <c r="C28" s="15">
        <f>467000/3400</f>
        <v>137.35294117647058</v>
      </c>
    </row>
    <row r="29" spans="1:3" ht="12.75">
      <c r="A29" t="s">
        <v>90</v>
      </c>
      <c r="C29" s="15">
        <f>C27-C28</f>
        <v>46.470588235294116</v>
      </c>
    </row>
    <row r="31" spans="1:3" ht="12.75">
      <c r="A31" t="s">
        <v>91</v>
      </c>
      <c r="C31" s="16">
        <f>(C25/C10)</f>
        <v>0.02821939586645469</v>
      </c>
    </row>
    <row r="48" ht="12.75">
      <c r="A48" t="s">
        <v>63</v>
      </c>
    </row>
    <row r="49" ht="12.75">
      <c r="A49" t="s">
        <v>64</v>
      </c>
    </row>
    <row r="50" ht="12.75">
      <c r="A50" t="s">
        <v>3</v>
      </c>
    </row>
    <row r="52" ht="12.75">
      <c r="A52" t="s">
        <v>4</v>
      </c>
    </row>
    <row r="53" ht="12.75">
      <c r="A53" t="s">
        <v>5</v>
      </c>
    </row>
    <row r="55" ht="12.75">
      <c r="A55" t="s">
        <v>6</v>
      </c>
    </row>
    <row r="57" ht="12.75">
      <c r="A57" t="s">
        <v>7</v>
      </c>
    </row>
    <row r="59" ht="12.75">
      <c r="A59" t="s">
        <v>8</v>
      </c>
    </row>
    <row r="60" ht="12.75">
      <c r="A60" t="s">
        <v>9</v>
      </c>
    </row>
    <row r="61" ht="12.75">
      <c r="A61" t="s">
        <v>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Женечка</cp:lastModifiedBy>
  <dcterms:created xsi:type="dcterms:W3CDTF">1996-10-08T23:32:33Z</dcterms:created>
  <dcterms:modified xsi:type="dcterms:W3CDTF">2012-06-04T13:27:52Z</dcterms:modified>
  <cp:category/>
  <cp:version/>
  <cp:contentType/>
  <cp:contentStatus/>
</cp:coreProperties>
</file>