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<sst xmlns="http://schemas.openxmlformats.org/spreadsheetml/2006/main" count="183" uniqueCount="121">
  <si>
    <t>Смета расходов на содержание и ремонт общего  имущества</t>
  </si>
  <si>
    <t>Количество лифтов -5.</t>
  </si>
  <si>
    <t>Количество квартир -</t>
  </si>
  <si>
    <t>№ п/п</t>
  </si>
  <si>
    <t>наименование расходов</t>
  </si>
  <si>
    <t>ед.изм</t>
  </si>
  <si>
    <t>год</t>
  </si>
  <si>
    <t>Общие эксплуатационные расходы</t>
  </si>
  <si>
    <t>в т.ч:</t>
  </si>
  <si>
    <t>1;1</t>
  </si>
  <si>
    <t>Административно-управленческие расходы</t>
  </si>
  <si>
    <t>руб.</t>
  </si>
  <si>
    <t>1.1.1.</t>
  </si>
  <si>
    <t>Расходы на зарплату  -всего</t>
  </si>
  <si>
    <t>директор</t>
  </si>
  <si>
    <t>Оклады:</t>
  </si>
  <si>
    <t>инженер</t>
  </si>
  <si>
    <t>бухгалтер</t>
  </si>
  <si>
    <t>месяц</t>
  </si>
  <si>
    <t>паспортист</t>
  </si>
  <si>
    <t>1.1.2.</t>
  </si>
  <si>
    <t>1;2</t>
  </si>
  <si>
    <t>1.2.1.</t>
  </si>
  <si>
    <t>канцелярские расходы</t>
  </si>
  <si>
    <t>1.2.3.</t>
  </si>
  <si>
    <t>услуги связи</t>
  </si>
  <si>
    <t>1.2.4.</t>
  </si>
  <si>
    <t>услуги банка</t>
  </si>
  <si>
    <t>1.2.5.</t>
  </si>
  <si>
    <t>расчетно-кассовое обслуживание</t>
  </si>
  <si>
    <t>Благоустройство и обеспечение санитарного состояния здания и территории</t>
  </si>
  <si>
    <t>2;1</t>
  </si>
  <si>
    <t>Расходы на зарплату -всего</t>
  </si>
  <si>
    <t>руб</t>
  </si>
  <si>
    <t>2.1.1.</t>
  </si>
  <si>
    <t>Оклады</t>
  </si>
  <si>
    <t>уборщик подъезда -2чел.</t>
  </si>
  <si>
    <t>дворник-2 чел.</t>
  </si>
  <si>
    <t>2.1.2.</t>
  </si>
  <si>
    <t>2.1.3.</t>
  </si>
  <si>
    <t>Спецодежда</t>
  </si>
  <si>
    <t>2.1.4.</t>
  </si>
  <si>
    <t>Хозтовары и инвентарь</t>
  </si>
  <si>
    <t>2.1.7.</t>
  </si>
  <si>
    <t>Чистка дорог и снега</t>
  </si>
  <si>
    <t>Ремонт и обслуживание внутридомового инженерного оборудования</t>
  </si>
  <si>
    <t>3;1</t>
  </si>
  <si>
    <t>Расходы на зарплату- всего</t>
  </si>
  <si>
    <t>3.1.1.</t>
  </si>
  <si>
    <t>слесарь -сантехник</t>
  </si>
  <si>
    <t>электрик</t>
  </si>
  <si>
    <t>3.1.2.</t>
  </si>
  <si>
    <t>3.2.</t>
  </si>
  <si>
    <t>Материалы и инструмент</t>
  </si>
  <si>
    <t>3.3.</t>
  </si>
  <si>
    <t>Обслуживание узла учета тепл/энерг.</t>
  </si>
  <si>
    <t>3.4.</t>
  </si>
  <si>
    <t>3.5.</t>
  </si>
  <si>
    <t>Прочие прямые затраты</t>
  </si>
  <si>
    <t>4.4.</t>
  </si>
  <si>
    <t>Единый налог</t>
  </si>
  <si>
    <t>Себестоимость содержания 1 кв. м. общей площади</t>
  </si>
  <si>
    <t>Число обслуживающего персонала - 10чел.</t>
  </si>
  <si>
    <t>Расходы на организацию работ, в т.ч:</t>
  </si>
  <si>
    <t>всего по разделу:</t>
  </si>
  <si>
    <t>4;6</t>
  </si>
  <si>
    <t>Аварийная служба</t>
  </si>
  <si>
    <t>в  месяц:</t>
  </si>
  <si>
    <t>на руки</t>
  </si>
  <si>
    <t>№</t>
  </si>
  <si>
    <t>наименование работ и услуг</t>
  </si>
  <si>
    <t>ед. изм.</t>
  </si>
  <si>
    <t>план на 2011 год</t>
  </si>
  <si>
    <t>на 1 кв.м.</t>
  </si>
  <si>
    <t>содержание общего имущества многоквартирного дома</t>
  </si>
  <si>
    <t>ИТОГО</t>
  </si>
  <si>
    <t>содержание жилья</t>
  </si>
  <si>
    <t>вывоз мусора по договору</t>
  </si>
  <si>
    <t>электроэнергия МОП (по факту)</t>
  </si>
  <si>
    <t>текущий ремонт</t>
  </si>
  <si>
    <t>страхование лифтов</t>
  </si>
  <si>
    <t>эксплуатация лифтов</t>
  </si>
  <si>
    <t>пожарная сигнализация</t>
  </si>
  <si>
    <t>содержание общего имущества</t>
  </si>
  <si>
    <t>!!!!!</t>
  </si>
  <si>
    <t>!!!!!!!!!!!!</t>
  </si>
  <si>
    <t>Налоги на зарплату 34.2%</t>
  </si>
  <si>
    <t>16000 на двух</t>
  </si>
  <si>
    <t>Налог на зарплату 34.2%</t>
  </si>
  <si>
    <t>12000 на руки</t>
  </si>
  <si>
    <t>5000 на руки</t>
  </si>
  <si>
    <t>допуск приборов теплоснабжения</t>
  </si>
  <si>
    <t>учеба на допуск по экспл тепл узла</t>
  </si>
  <si>
    <t>177079,59:13743,1=12,88</t>
  </si>
  <si>
    <t>по расчетам ТСЖ за год выходит 233509,39</t>
  </si>
  <si>
    <t>ТСЖ округлило до 46000,00</t>
  </si>
  <si>
    <t>по расчетам ТСЖ за год 12068,00</t>
  </si>
  <si>
    <t>по расчетам ТСЖ в год должны 150953,33</t>
  </si>
  <si>
    <t>Из-за неверных расчетов ниже, суммы не идут на копейки по расчетам ТСЖ выходит 1074433,39</t>
  </si>
  <si>
    <t>Из-за неверных расчетов ниже цифры не идут на копейки по расчетам ТСЖ за год 654737,33</t>
  </si>
  <si>
    <t>по расчетам ТСЖ за год вышло 8000</t>
  </si>
  <si>
    <t>по расчетам ТСЖ за год вышло 33112,07</t>
  </si>
  <si>
    <t>по расчетам ТСЖ за год вышло 2000</t>
  </si>
  <si>
    <t>по расчетам ТСЖ за год вышло 5000</t>
  </si>
  <si>
    <t>Неверно проведенны расчеты ниже. По расчетам ТСЖ за год 362784,23</t>
  </si>
  <si>
    <t>по расчетам ТСЖ в год 2124954,95, в месяц 177079,58</t>
  </si>
  <si>
    <t>Подвожу итог, незнаю кто и как там считает, из таблицы видно, что цифры не идут на копейки, где-то у ТСЖ больше, где-то у меня. Результат с квадратного метра не изменился, так и получилось 12,88 руб. Но факт на лицо, ошибаясь в копейках, могут и на большие рубли нагреть. я не преследовала цель их очернить, для себя проверила смету и выявила неверные расчеты. Все самое интересное на 2 странице, смотрите</t>
  </si>
  <si>
    <t xml:space="preserve">         жилого дома по ул.Широкой №19/1 на 2011г.</t>
  </si>
  <si>
    <t>Общая площадь -13743,1 кв.м.</t>
  </si>
  <si>
    <t>РАСЧЕТЫ ТСЖ</t>
  </si>
  <si>
    <t>МОИ РАСЧЕТЫ</t>
  </si>
  <si>
    <t>Это цифры из сметы без содержания жилья</t>
  </si>
  <si>
    <t>Вот смотрите теперь сами, если в первой смете боле менее сносно, только копейки поправить, то здесь уже явные расхождения. Прошу всех кто посмотрит смету проверить расчеты, мы все люди и нам свойственно ошибаться, но все формулы в таблице заложены и мной ни один раз проверены. Если где я ошиблась, то напишите. Если же ошибки нет, то давайте посмотрим сколько они наварят себе в месяц и год</t>
  </si>
  <si>
    <t>Месяц</t>
  </si>
  <si>
    <t>Год</t>
  </si>
  <si>
    <t>Площадь дома 13743,1</t>
  </si>
  <si>
    <t>По расчетам ТСЖ</t>
  </si>
  <si>
    <t>По моим расчетам</t>
  </si>
  <si>
    <t>Возьму для примера свою квартиру площадь 63 кв.м.</t>
  </si>
  <si>
    <t>В месяц они с моей квартиры будут иметь 13,23 руб., а в год 158,76 руб.</t>
  </si>
  <si>
    <r>
      <t xml:space="preserve">В месяц они с дома будут иметь 2886,09 руб., а год будут иметь  </t>
    </r>
    <r>
      <rPr>
        <b/>
        <sz val="11"/>
        <rFont val="Arial Cyr"/>
        <family val="0"/>
      </rPr>
      <t>34633,07 руб.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</si>
</sst>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i/>
      <u val="single"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 wrapText="1"/>
    </xf>
    <xf numFmtId="166" fontId="0" fillId="2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 wrapText="1"/>
    </xf>
    <xf numFmtId="166" fontId="0" fillId="2" borderId="1" xfId="18" applyNumberFormat="1" applyFill="1" applyBorder="1" applyAlignment="1">
      <alignment horizontal="center" wrapText="1"/>
    </xf>
    <xf numFmtId="166" fontId="0" fillId="0" borderId="1" xfId="18" applyNumberFormat="1" applyFill="1" applyBorder="1" applyAlignment="1">
      <alignment wrapText="1"/>
    </xf>
    <xf numFmtId="166" fontId="0" fillId="0" borderId="1" xfId="18" applyNumberFormat="1" applyBorder="1" applyAlignment="1">
      <alignment/>
    </xf>
    <xf numFmtId="166" fontId="0" fillId="2" borderId="1" xfId="18" applyNumberFormat="1" applyFill="1" applyBorder="1" applyAlignment="1">
      <alignment/>
    </xf>
    <xf numFmtId="166" fontId="0" fillId="0" borderId="0" xfId="18" applyNumberFormat="1" applyAlignment="1">
      <alignment/>
    </xf>
    <xf numFmtId="166" fontId="0" fillId="2" borderId="0" xfId="18" applyNumberFormat="1" applyFill="1" applyAlignment="1">
      <alignment/>
    </xf>
    <xf numFmtId="0" fontId="0" fillId="3" borderId="1" xfId="0" applyFill="1" applyBorder="1" applyAlignment="1">
      <alignment wrapText="1"/>
    </xf>
    <xf numFmtId="166" fontId="0" fillId="3" borderId="1" xfId="18" applyNumberFormat="1" applyFill="1" applyBorder="1" applyAlignment="1">
      <alignment wrapText="1"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5" borderId="1" xfId="0" applyNumberFormat="1" applyFill="1" applyBorder="1" applyAlignment="1">
      <alignment/>
    </xf>
    <xf numFmtId="0" fontId="2" fillId="0" borderId="0" xfId="0" applyFont="1" applyAlignment="1">
      <alignment/>
    </xf>
    <xf numFmtId="166" fontId="0" fillId="0" borderId="1" xfId="18" applyNumberFormat="1" applyFont="1" applyBorder="1" applyAlignment="1">
      <alignment wrapText="1"/>
    </xf>
    <xf numFmtId="2" fontId="0" fillId="0" borderId="1" xfId="18" applyNumberFormat="1" applyBorder="1" applyAlignment="1">
      <alignment wrapText="1"/>
    </xf>
    <xf numFmtId="2" fontId="0" fillId="0" borderId="0" xfId="0" applyNumberFormat="1" applyAlignment="1">
      <alignment/>
    </xf>
    <xf numFmtId="2" fontId="0" fillId="6" borderId="1" xfId="18" applyNumberFormat="1" applyFill="1" applyBorder="1" applyAlignment="1">
      <alignment wrapText="1"/>
    </xf>
    <xf numFmtId="2" fontId="0" fillId="2" borderId="1" xfId="18" applyNumberFormat="1" applyFill="1" applyBorder="1" applyAlignment="1">
      <alignment horizontal="center" wrapText="1"/>
    </xf>
    <xf numFmtId="2" fontId="0" fillId="0" borderId="1" xfId="18" applyNumberFormat="1" applyBorder="1" applyAlignment="1">
      <alignment/>
    </xf>
    <xf numFmtId="2" fontId="0" fillId="2" borderId="1" xfId="18" applyNumberFormat="1" applyFill="1" applyBorder="1" applyAlignment="1">
      <alignment/>
    </xf>
    <xf numFmtId="166" fontId="0" fillId="0" borderId="1" xfId="18" applyNumberFormat="1" applyFont="1" applyBorder="1" applyAlignment="1">
      <alignment/>
    </xf>
    <xf numFmtId="2" fontId="0" fillId="6" borderId="1" xfId="18" applyNumberFormat="1" applyFill="1" applyBorder="1" applyAlignment="1">
      <alignment/>
    </xf>
    <xf numFmtId="2" fontId="0" fillId="2" borderId="1" xfId="18" applyNumberFormat="1" applyFill="1" applyBorder="1" applyAlignment="1">
      <alignment wrapText="1"/>
    </xf>
    <xf numFmtId="0" fontId="2" fillId="5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2" borderId="0" xfId="18" applyNumberFormat="1" applyFont="1" applyFill="1" applyAlignment="1">
      <alignment horizontal="center"/>
    </xf>
    <xf numFmtId="166" fontId="0" fillId="2" borderId="0" xfId="18" applyNumberFormat="1" applyFill="1" applyAlignment="1">
      <alignment horizontal="center"/>
    </xf>
    <xf numFmtId="166" fontId="0" fillId="2" borderId="5" xfId="18" applyNumberFormat="1" applyFill="1" applyBorder="1" applyAlignment="1">
      <alignment horizontal="center" wrapText="1"/>
    </xf>
    <xf numFmtId="166" fontId="0" fillId="2" borderId="6" xfId="18" applyNumberFormat="1" applyFill="1" applyBorder="1" applyAlignment="1">
      <alignment horizontal="center" wrapText="1"/>
    </xf>
    <xf numFmtId="166" fontId="0" fillId="2" borderId="7" xfId="18" applyNumberForma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4" borderId="1" xfId="18" applyNumberFormat="1" applyFill="1" applyBorder="1" applyAlignment="1">
      <alignment wrapText="1"/>
    </xf>
    <xf numFmtId="2" fontId="0" fillId="4" borderId="1" xfId="18" applyNumberFormat="1" applyFill="1" applyBorder="1" applyAlignment="1">
      <alignment horizontal="center" wrapText="1"/>
    </xf>
    <xf numFmtId="2" fontId="0" fillId="4" borderId="1" xfId="18" applyNumberFormat="1" applyFill="1" applyBorder="1" applyAlignment="1">
      <alignment/>
    </xf>
    <xf numFmtId="0" fontId="0" fillId="0" borderId="0" xfId="0" applyAlignment="1">
      <alignment wrapText="1"/>
    </xf>
    <xf numFmtId="0" fontId="2" fillId="7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4" fillId="4" borderId="1" xfId="0" applyFon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2" fillId="7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workbookViewId="0" topLeftCell="B1">
      <selection activeCell="E7" sqref="E7"/>
    </sheetView>
  </sheetViews>
  <sheetFormatPr defaultColWidth="9.00390625" defaultRowHeight="12.75"/>
  <cols>
    <col min="1" max="1" width="1.25" style="0" hidden="1" customWidth="1"/>
    <col min="2" max="2" width="7.125" style="0" customWidth="1"/>
    <col min="3" max="3" width="33.375" style="0" customWidth="1"/>
    <col min="4" max="4" width="6.75390625" style="0" customWidth="1"/>
    <col min="5" max="5" width="15.75390625" style="0" customWidth="1"/>
    <col min="6" max="6" width="12.00390625" style="0" customWidth="1"/>
    <col min="7" max="7" width="11.375" style="0" bestFit="1" customWidth="1"/>
  </cols>
  <sheetData>
    <row r="1" ht="12.75">
      <c r="C1" t="s">
        <v>0</v>
      </c>
    </row>
    <row r="2" ht="12.75">
      <c r="C2" t="s">
        <v>107</v>
      </c>
    </row>
    <row r="4" spans="2:9" ht="12.75">
      <c r="B4" t="s">
        <v>108</v>
      </c>
      <c r="I4" s="29"/>
    </row>
    <row r="5" ht="12.75">
      <c r="B5" t="s">
        <v>1</v>
      </c>
    </row>
    <row r="6" ht="12.75">
      <c r="B6" t="s">
        <v>2</v>
      </c>
    </row>
    <row r="7" ht="12.75">
      <c r="B7" t="s">
        <v>62</v>
      </c>
    </row>
    <row r="8" spans="5:8" ht="12.75">
      <c r="E8" s="38"/>
      <c r="F8" s="38"/>
      <c r="G8" s="38"/>
      <c r="H8" s="18"/>
    </row>
    <row r="9" spans="2:8" ht="24" customHeight="1">
      <c r="B9" s="39" t="s">
        <v>3</v>
      </c>
      <c r="C9" s="39" t="s">
        <v>4</v>
      </c>
      <c r="D9" s="39" t="s">
        <v>5</v>
      </c>
      <c r="E9" s="46" t="s">
        <v>72</v>
      </c>
      <c r="F9" s="46"/>
      <c r="G9" s="47"/>
      <c r="H9" s="18"/>
    </row>
    <row r="10" spans="2:8" ht="12.75">
      <c r="B10" s="40"/>
      <c r="C10" s="40"/>
      <c r="D10" s="40"/>
      <c r="E10" s="2" t="s">
        <v>6</v>
      </c>
      <c r="F10" s="2" t="s">
        <v>18</v>
      </c>
      <c r="G10" s="2"/>
      <c r="H10" s="18"/>
    </row>
    <row r="11" spans="2:8" ht="15.75" customHeight="1">
      <c r="B11" s="6">
        <v>1</v>
      </c>
      <c r="C11" s="8" t="s">
        <v>7</v>
      </c>
      <c r="D11" s="8" t="s">
        <v>11</v>
      </c>
      <c r="E11" s="51">
        <f>E13+E28+E39+E50</f>
        <v>2124955.08</v>
      </c>
      <c r="F11" s="51">
        <f>F13+F28+F39+F50</f>
        <v>177079.59</v>
      </c>
      <c r="G11" s="9"/>
      <c r="H11" s="18" t="s">
        <v>105</v>
      </c>
    </row>
    <row r="12" spans="2:8" ht="12.75">
      <c r="B12" s="6"/>
      <c r="C12" s="8" t="s">
        <v>8</v>
      </c>
      <c r="D12" s="8"/>
      <c r="E12" s="8"/>
      <c r="F12" s="8"/>
      <c r="G12" s="9"/>
      <c r="H12" s="18"/>
    </row>
    <row r="13" spans="2:8" ht="25.5">
      <c r="B13" s="7" t="s">
        <v>9</v>
      </c>
      <c r="C13" s="8" t="s">
        <v>10</v>
      </c>
      <c r="D13" s="8" t="s">
        <v>11</v>
      </c>
      <c r="E13" s="51">
        <f>E14+E21</f>
        <v>1074433.44</v>
      </c>
      <c r="F13" s="36">
        <f>F14+F21</f>
        <v>89536.12</v>
      </c>
      <c r="G13" s="9"/>
      <c r="H13" s="18" t="s">
        <v>98</v>
      </c>
    </row>
    <row r="14" spans="2:8" ht="12.75">
      <c r="B14" s="2" t="s">
        <v>12</v>
      </c>
      <c r="C14" s="9" t="s">
        <v>13</v>
      </c>
      <c r="D14" s="9" t="s">
        <v>11</v>
      </c>
      <c r="E14" s="51">
        <f>E15+E20</f>
        <v>916285.44</v>
      </c>
      <c r="F14" s="28">
        <f>F15+F20</f>
        <v>76357.12</v>
      </c>
      <c r="G14" s="9"/>
      <c r="H14" s="18"/>
    </row>
    <row r="15" spans="2:8" ht="12.75">
      <c r="B15" s="2"/>
      <c r="C15" s="9" t="s">
        <v>15</v>
      </c>
      <c r="D15" s="9"/>
      <c r="E15" s="28">
        <f>E16+E17+E18+E19</f>
        <v>682776</v>
      </c>
      <c r="F15" s="30">
        <f>SUM(F16:F19)</f>
        <v>56898</v>
      </c>
      <c r="G15" s="9"/>
      <c r="H15" s="18"/>
    </row>
    <row r="16" spans="2:8" ht="12.75">
      <c r="B16" s="2"/>
      <c r="C16" s="9" t="s">
        <v>14</v>
      </c>
      <c r="D16" s="9" t="s">
        <v>11</v>
      </c>
      <c r="E16" s="28">
        <f>22989*12</f>
        <v>275868</v>
      </c>
      <c r="F16" s="28">
        <v>22989</v>
      </c>
      <c r="G16" s="9">
        <v>20000</v>
      </c>
      <c r="H16" s="18" t="s">
        <v>68</v>
      </c>
    </row>
    <row r="17" spans="2:8" ht="12.75">
      <c r="B17" s="2"/>
      <c r="C17" s="9" t="s">
        <v>16</v>
      </c>
      <c r="D17" s="9" t="s">
        <v>11</v>
      </c>
      <c r="E17" s="28">
        <f>18391*12</f>
        <v>220692</v>
      </c>
      <c r="F17" s="28">
        <v>18391</v>
      </c>
      <c r="G17" s="9">
        <v>16000</v>
      </c>
      <c r="H17" s="18" t="s">
        <v>68</v>
      </c>
    </row>
    <row r="18" spans="2:8" ht="12.75">
      <c r="B18" s="2"/>
      <c r="C18" s="9" t="s">
        <v>17</v>
      </c>
      <c r="D18" s="9" t="s">
        <v>11</v>
      </c>
      <c r="E18" s="28">
        <f>12644*12</f>
        <v>151728</v>
      </c>
      <c r="F18" s="28">
        <v>12644</v>
      </c>
      <c r="G18" s="9">
        <v>11000</v>
      </c>
      <c r="H18" s="18" t="s">
        <v>68</v>
      </c>
    </row>
    <row r="19" spans="2:8" ht="12.75">
      <c r="B19" s="2"/>
      <c r="C19" s="9" t="s">
        <v>19</v>
      </c>
      <c r="D19" s="9" t="s">
        <v>11</v>
      </c>
      <c r="E19" s="28">
        <f>2874*12</f>
        <v>34488</v>
      </c>
      <c r="F19" s="28">
        <v>2874</v>
      </c>
      <c r="G19" s="9">
        <v>2500</v>
      </c>
      <c r="H19" s="18" t="s">
        <v>68</v>
      </c>
    </row>
    <row r="20" spans="2:8" ht="12.75">
      <c r="B20" s="2" t="s">
        <v>20</v>
      </c>
      <c r="C20" s="27" t="s">
        <v>86</v>
      </c>
      <c r="D20" s="9" t="s">
        <v>11</v>
      </c>
      <c r="E20" s="51">
        <f>19459.12*12</f>
        <v>233509.44</v>
      </c>
      <c r="F20" s="28">
        <v>19459.12</v>
      </c>
      <c r="G20" s="9"/>
      <c r="H20" s="18" t="s">
        <v>94</v>
      </c>
    </row>
    <row r="21" spans="2:8" ht="25.5">
      <c r="B21" s="2" t="s">
        <v>21</v>
      </c>
      <c r="C21" s="9" t="s">
        <v>63</v>
      </c>
      <c r="D21" s="9" t="s">
        <v>11</v>
      </c>
      <c r="E21" s="28">
        <f>E22+E23+E24+E25</f>
        <v>158148</v>
      </c>
      <c r="F21" s="30">
        <f>SUM(F22:F25)</f>
        <v>13179</v>
      </c>
      <c r="G21" s="9"/>
      <c r="H21" s="18"/>
    </row>
    <row r="22" spans="2:8" ht="12.75">
      <c r="B22" s="2" t="s">
        <v>22</v>
      </c>
      <c r="C22" s="9" t="s">
        <v>23</v>
      </c>
      <c r="D22" s="9" t="s">
        <v>11</v>
      </c>
      <c r="E22" s="51">
        <f>3833.33*12</f>
        <v>45999.96</v>
      </c>
      <c r="F22" s="28">
        <v>3833.33</v>
      </c>
      <c r="G22" s="9"/>
      <c r="H22" s="18" t="s">
        <v>95</v>
      </c>
    </row>
    <row r="23" spans="2:8" ht="12.75">
      <c r="B23" s="2" t="s">
        <v>24</v>
      </c>
      <c r="C23" s="9" t="s">
        <v>25</v>
      </c>
      <c r="D23" s="9" t="s">
        <v>11</v>
      </c>
      <c r="E23" s="51">
        <f>1005.67*12</f>
        <v>12068.039999999999</v>
      </c>
      <c r="F23" s="28">
        <v>1005.67</v>
      </c>
      <c r="G23" s="9"/>
      <c r="H23" s="18" t="s">
        <v>96</v>
      </c>
    </row>
    <row r="24" spans="2:8" ht="12.75">
      <c r="B24" s="3" t="s">
        <v>26</v>
      </c>
      <c r="C24" s="9" t="s">
        <v>27</v>
      </c>
      <c r="D24" s="9" t="s">
        <v>11</v>
      </c>
      <c r="E24" s="28">
        <f>1500*12</f>
        <v>18000</v>
      </c>
      <c r="F24" s="28">
        <v>1500</v>
      </c>
      <c r="G24" s="9"/>
      <c r="H24" s="18"/>
    </row>
    <row r="25" spans="2:8" ht="12.75">
      <c r="B25" s="2" t="s">
        <v>28</v>
      </c>
      <c r="C25" s="9" t="s">
        <v>29</v>
      </c>
      <c r="D25" s="9" t="s">
        <v>11</v>
      </c>
      <c r="E25" s="28">
        <f>6840*12</f>
        <v>82080</v>
      </c>
      <c r="F25" s="28">
        <v>6840</v>
      </c>
      <c r="G25" s="9"/>
      <c r="H25" s="18"/>
    </row>
    <row r="26" spans="2:8" ht="12.75">
      <c r="B26" s="2"/>
      <c r="C26" s="9"/>
      <c r="D26" s="9"/>
      <c r="E26" s="9"/>
      <c r="F26" s="9"/>
      <c r="G26" s="9"/>
      <c r="H26" s="18"/>
    </row>
    <row r="27" spans="2:8" ht="12.75">
      <c r="B27" s="6">
        <v>2</v>
      </c>
      <c r="C27" s="43" t="s">
        <v>30</v>
      </c>
      <c r="D27" s="44"/>
      <c r="E27" s="44"/>
      <c r="F27" s="44"/>
      <c r="G27" s="45"/>
      <c r="H27" s="18"/>
    </row>
    <row r="28" spans="2:8" ht="12.75">
      <c r="B28" s="6"/>
      <c r="C28" s="10" t="s">
        <v>64</v>
      </c>
      <c r="D28" s="10" t="s">
        <v>33</v>
      </c>
      <c r="E28" s="52">
        <f>E29+E34+E35+E36</f>
        <v>654737.28</v>
      </c>
      <c r="F28" s="28">
        <f>SUM(F33:F36)+F30</f>
        <v>54561.44</v>
      </c>
      <c r="G28" s="10"/>
      <c r="H28" s="18" t="s">
        <v>99</v>
      </c>
    </row>
    <row r="29" spans="2:8" ht="12.75">
      <c r="B29" s="16" t="s">
        <v>31</v>
      </c>
      <c r="C29" s="17" t="s">
        <v>32</v>
      </c>
      <c r="D29" s="17" t="s">
        <v>33</v>
      </c>
      <c r="E29" s="51">
        <f>E30+E33</f>
        <v>592337.28</v>
      </c>
      <c r="F29" s="29">
        <f>F30+F33</f>
        <v>49361.44</v>
      </c>
      <c r="G29" s="9"/>
      <c r="H29" s="18"/>
    </row>
    <row r="30" spans="2:8" ht="12.75">
      <c r="B30" s="2" t="s">
        <v>34</v>
      </c>
      <c r="C30" s="9" t="s">
        <v>35</v>
      </c>
      <c r="D30" s="9" t="s">
        <v>33</v>
      </c>
      <c r="E30" s="28">
        <f>E31+E32</f>
        <v>441384</v>
      </c>
      <c r="F30" s="30">
        <f>SUM(F31:F32)</f>
        <v>36782</v>
      </c>
      <c r="G30" s="9"/>
      <c r="H30" s="18"/>
    </row>
    <row r="31" spans="2:8" ht="25.5">
      <c r="B31" s="2"/>
      <c r="C31" s="11" t="s">
        <v>36</v>
      </c>
      <c r="D31" s="11" t="s">
        <v>33</v>
      </c>
      <c r="E31" s="28">
        <f>18391*12</f>
        <v>220692</v>
      </c>
      <c r="F31" s="28">
        <v>18391</v>
      </c>
      <c r="G31" s="27" t="s">
        <v>87</v>
      </c>
      <c r="H31" s="18"/>
    </row>
    <row r="32" spans="2:8" ht="25.5">
      <c r="B32" s="2"/>
      <c r="C32" s="9" t="s">
        <v>37</v>
      </c>
      <c r="D32" s="9" t="s">
        <v>33</v>
      </c>
      <c r="E32" s="28">
        <f>18391*12</f>
        <v>220692</v>
      </c>
      <c r="F32" s="28">
        <v>18391</v>
      </c>
      <c r="G32" s="27" t="s">
        <v>87</v>
      </c>
      <c r="H32" s="18"/>
    </row>
    <row r="33" spans="2:8" ht="12.75">
      <c r="B33" s="2" t="s">
        <v>38</v>
      </c>
      <c r="C33" s="27" t="s">
        <v>88</v>
      </c>
      <c r="D33" s="9" t="s">
        <v>33</v>
      </c>
      <c r="E33" s="51">
        <f>12579.44*12</f>
        <v>150953.28</v>
      </c>
      <c r="F33" s="28">
        <v>12579.44</v>
      </c>
      <c r="G33" s="9"/>
      <c r="H33" s="18" t="s">
        <v>97</v>
      </c>
    </row>
    <row r="34" spans="2:8" ht="12.75">
      <c r="B34" s="2" t="s">
        <v>39</v>
      </c>
      <c r="C34" s="9" t="s">
        <v>40</v>
      </c>
      <c r="D34" s="9" t="s">
        <v>33</v>
      </c>
      <c r="E34" s="28">
        <f>500*12</f>
        <v>6000</v>
      </c>
      <c r="F34" s="28">
        <v>500</v>
      </c>
      <c r="G34" s="9"/>
      <c r="H34" s="18"/>
    </row>
    <row r="35" spans="2:8" ht="12.75">
      <c r="B35" s="2" t="s">
        <v>41</v>
      </c>
      <c r="C35" s="9" t="s">
        <v>42</v>
      </c>
      <c r="D35" s="9" t="s">
        <v>33</v>
      </c>
      <c r="E35" s="28">
        <f>700*12</f>
        <v>8400</v>
      </c>
      <c r="F35" s="28">
        <v>700</v>
      </c>
      <c r="G35" s="9"/>
      <c r="H35" s="18"/>
    </row>
    <row r="36" spans="2:8" ht="12.75">
      <c r="B36" s="2" t="s">
        <v>43</v>
      </c>
      <c r="C36" s="9" t="s">
        <v>44</v>
      </c>
      <c r="D36" s="9" t="s">
        <v>33</v>
      </c>
      <c r="E36" s="28">
        <f>4000*12</f>
        <v>48000</v>
      </c>
      <c r="F36" s="28">
        <v>4000</v>
      </c>
      <c r="G36" s="9"/>
      <c r="H36" s="18"/>
    </row>
    <row r="37" spans="2:8" ht="12.75">
      <c r="B37" s="2"/>
      <c r="C37" s="9"/>
      <c r="D37" s="9"/>
      <c r="E37" s="9"/>
      <c r="F37" s="9"/>
      <c r="G37" s="9"/>
      <c r="H37" s="18"/>
    </row>
    <row r="38" spans="2:8" ht="12.75">
      <c r="B38" s="6">
        <v>3</v>
      </c>
      <c r="C38" s="43" t="s">
        <v>45</v>
      </c>
      <c r="D38" s="44"/>
      <c r="E38" s="44"/>
      <c r="F38" s="44"/>
      <c r="G38" s="45"/>
      <c r="H38" s="18"/>
    </row>
    <row r="39" spans="2:8" ht="12.75">
      <c r="B39" s="6"/>
      <c r="C39" s="10" t="s">
        <v>64</v>
      </c>
      <c r="D39" s="10" t="s">
        <v>33</v>
      </c>
      <c r="E39" s="52">
        <f>E40+E45+E46+E47+E48</f>
        <v>362784.36</v>
      </c>
      <c r="F39" s="31">
        <f>F40+F45+F46+F47+F48</f>
        <v>30232.029999999995</v>
      </c>
      <c r="G39" s="10"/>
      <c r="H39" s="18" t="s">
        <v>104</v>
      </c>
    </row>
    <row r="40" spans="2:8" ht="12.75">
      <c r="B40" s="2" t="s">
        <v>46</v>
      </c>
      <c r="C40" s="9" t="s">
        <v>47</v>
      </c>
      <c r="D40" s="9" t="s">
        <v>33</v>
      </c>
      <c r="E40" s="28">
        <f>E41+E44</f>
        <v>314672.16000000003</v>
      </c>
      <c r="F40" s="28">
        <f>F41+F44</f>
        <v>26222.68</v>
      </c>
      <c r="G40" s="9"/>
      <c r="H40" s="18"/>
    </row>
    <row r="41" spans="2:8" ht="12.75">
      <c r="B41" s="1" t="s">
        <v>48</v>
      </c>
      <c r="C41" s="12" t="s">
        <v>35</v>
      </c>
      <c r="D41" s="12" t="s">
        <v>33</v>
      </c>
      <c r="E41" s="32">
        <f>E42+E43</f>
        <v>234480</v>
      </c>
      <c r="F41" s="35">
        <f>F42+F43</f>
        <v>19540</v>
      </c>
      <c r="G41" s="12"/>
      <c r="H41" s="18"/>
    </row>
    <row r="42" spans="2:8" ht="12.75">
      <c r="B42" s="1"/>
      <c r="C42" s="12" t="s">
        <v>49</v>
      </c>
      <c r="D42" s="12" t="s">
        <v>33</v>
      </c>
      <c r="E42" s="32">
        <f>13793*12</f>
        <v>165516</v>
      </c>
      <c r="F42" s="32">
        <v>13793</v>
      </c>
      <c r="G42" s="34" t="s">
        <v>89</v>
      </c>
      <c r="H42" s="18"/>
    </row>
    <row r="43" spans="2:8" ht="12.75">
      <c r="B43" s="1"/>
      <c r="C43" s="12" t="s">
        <v>50</v>
      </c>
      <c r="D43" s="12" t="s">
        <v>33</v>
      </c>
      <c r="E43" s="32">
        <f>5747*12</f>
        <v>68964</v>
      </c>
      <c r="F43" s="32">
        <v>5747</v>
      </c>
      <c r="G43" s="34" t="s">
        <v>90</v>
      </c>
      <c r="H43" s="18"/>
    </row>
    <row r="44" spans="2:8" ht="12.75">
      <c r="B44" s="1" t="s">
        <v>51</v>
      </c>
      <c r="C44" s="34" t="s">
        <v>86</v>
      </c>
      <c r="D44" s="12" t="s">
        <v>33</v>
      </c>
      <c r="E44" s="32">
        <f>6682.68*12</f>
        <v>80192.16</v>
      </c>
      <c r="F44" s="32">
        <v>6682.68</v>
      </c>
      <c r="G44" s="12"/>
      <c r="H44" s="18"/>
    </row>
    <row r="45" spans="2:8" ht="12.75">
      <c r="B45" s="1" t="s">
        <v>52</v>
      </c>
      <c r="C45" s="12" t="s">
        <v>53</v>
      </c>
      <c r="D45" s="12" t="s">
        <v>33</v>
      </c>
      <c r="E45" s="53">
        <f>666.67*12</f>
        <v>8000.039999999999</v>
      </c>
      <c r="F45" s="32">
        <v>666.67</v>
      </c>
      <c r="G45" s="12"/>
      <c r="H45" s="18" t="s">
        <v>100</v>
      </c>
    </row>
    <row r="46" spans="2:8" ht="12.75">
      <c r="B46" s="1" t="s">
        <v>54</v>
      </c>
      <c r="C46" s="12" t="s">
        <v>55</v>
      </c>
      <c r="D46" s="12" t="s">
        <v>33</v>
      </c>
      <c r="E46" s="53">
        <f>F46*12</f>
        <v>33112.08</v>
      </c>
      <c r="F46" s="32">
        <v>2759.34</v>
      </c>
      <c r="G46" s="12"/>
      <c r="H46" s="18" t="s">
        <v>101</v>
      </c>
    </row>
    <row r="47" spans="2:8" ht="12.75">
      <c r="B47" s="1" t="s">
        <v>56</v>
      </c>
      <c r="C47" s="34" t="s">
        <v>91</v>
      </c>
      <c r="D47" s="12" t="s">
        <v>33</v>
      </c>
      <c r="E47" s="53">
        <f>F47*12</f>
        <v>2000.04</v>
      </c>
      <c r="F47" s="32">
        <v>166.67</v>
      </c>
      <c r="G47" s="12"/>
      <c r="H47" s="18" t="s">
        <v>102</v>
      </c>
    </row>
    <row r="48" spans="2:8" ht="12.75">
      <c r="B48" s="1" t="s">
        <v>57</v>
      </c>
      <c r="C48" s="34" t="s">
        <v>92</v>
      </c>
      <c r="D48" s="12" t="s">
        <v>33</v>
      </c>
      <c r="E48" s="53">
        <f>F48*12</f>
        <v>5000.04</v>
      </c>
      <c r="F48" s="32">
        <v>416.67</v>
      </c>
      <c r="G48" s="12"/>
      <c r="H48" s="18" t="s">
        <v>103</v>
      </c>
    </row>
    <row r="49" spans="2:8" ht="12.75">
      <c r="B49" s="1"/>
      <c r="C49" s="12"/>
      <c r="D49" s="12"/>
      <c r="E49" s="12"/>
      <c r="F49" s="12"/>
      <c r="G49" s="12"/>
      <c r="H49" s="18"/>
    </row>
    <row r="50" spans="2:8" ht="12.75">
      <c r="B50" s="4">
        <v>4</v>
      </c>
      <c r="C50" s="13" t="s">
        <v>58</v>
      </c>
      <c r="D50" s="13"/>
      <c r="E50" s="33">
        <f>E51+E52</f>
        <v>33000</v>
      </c>
      <c r="F50" s="33">
        <f>SUM(F51:F52)</f>
        <v>2750</v>
      </c>
      <c r="G50" s="13"/>
      <c r="H50" s="18"/>
    </row>
    <row r="51" spans="2:8" ht="12.75">
      <c r="B51" s="1" t="s">
        <v>59</v>
      </c>
      <c r="C51" s="12" t="s">
        <v>60</v>
      </c>
      <c r="D51" s="12" t="s">
        <v>33</v>
      </c>
      <c r="E51" s="32">
        <f>F51*12</f>
        <v>18000</v>
      </c>
      <c r="F51" s="32">
        <v>1500</v>
      </c>
      <c r="G51" s="12"/>
      <c r="H51" s="18"/>
    </row>
    <row r="52" spans="2:8" ht="12.75">
      <c r="B52" s="1" t="s">
        <v>65</v>
      </c>
      <c r="C52" s="12" t="s">
        <v>66</v>
      </c>
      <c r="D52" s="12" t="s">
        <v>33</v>
      </c>
      <c r="E52" s="32">
        <f>F52*12</f>
        <v>15000</v>
      </c>
      <c r="F52" s="32">
        <v>1250</v>
      </c>
      <c r="G52" s="12"/>
      <c r="H52" s="18"/>
    </row>
    <row r="53" spans="2:8" ht="12.75">
      <c r="B53" s="1"/>
      <c r="C53" s="12"/>
      <c r="D53" s="12"/>
      <c r="E53" s="12"/>
      <c r="F53" s="12"/>
      <c r="G53" s="12"/>
      <c r="H53" s="18"/>
    </row>
    <row r="54" spans="2:8" ht="12.75">
      <c r="B54" s="1"/>
      <c r="C54" s="12"/>
      <c r="D54" s="12"/>
      <c r="E54" s="12"/>
      <c r="F54" s="12"/>
      <c r="G54" s="12"/>
      <c r="H54" s="18"/>
    </row>
    <row r="55" spans="3:8" ht="12.75">
      <c r="C55" s="14"/>
      <c r="D55" s="14"/>
      <c r="E55" s="14"/>
      <c r="F55" s="14"/>
      <c r="G55" s="14"/>
      <c r="H55" s="18"/>
    </row>
    <row r="56" spans="2:8" ht="12.75">
      <c r="B56" s="5"/>
      <c r="C56" s="15" t="s">
        <v>61</v>
      </c>
      <c r="D56" s="15"/>
      <c r="E56" s="15" t="s">
        <v>67</v>
      </c>
      <c r="F56" s="15"/>
      <c r="G56" s="15"/>
      <c r="H56" s="18"/>
    </row>
    <row r="57" spans="2:8" ht="12.75">
      <c r="B57" s="5"/>
      <c r="C57" s="41" t="s">
        <v>93</v>
      </c>
      <c r="D57" s="42"/>
      <c r="E57" s="42"/>
      <c r="F57" s="42"/>
      <c r="G57" s="42"/>
      <c r="H57" s="18"/>
    </row>
    <row r="60" spans="2:6" ht="85.5" customHeight="1">
      <c r="B60" s="55" t="s">
        <v>106</v>
      </c>
      <c r="C60" s="55"/>
      <c r="D60" s="55"/>
      <c r="E60" s="55"/>
      <c r="F60" s="55"/>
    </row>
  </sheetData>
  <mergeCells count="9">
    <mergeCell ref="B60:F60"/>
    <mergeCell ref="E8:G8"/>
    <mergeCell ref="B9:B10"/>
    <mergeCell ref="C57:G57"/>
    <mergeCell ref="C27:G27"/>
    <mergeCell ref="C38:G38"/>
    <mergeCell ref="E9:G9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H33" sqref="H33"/>
    </sheetView>
  </sheetViews>
  <sheetFormatPr defaultColWidth="9.00390625" defaultRowHeight="12.75"/>
  <cols>
    <col min="2" max="2" width="46.00390625" style="0" customWidth="1"/>
    <col min="3" max="3" width="12.125" style="0" bestFit="1" customWidth="1"/>
    <col min="4" max="4" width="14.25390625" style="0" customWidth="1"/>
    <col min="5" max="5" width="13.25390625" style="0" customWidth="1"/>
    <col min="6" max="6" width="12.625" style="0" customWidth="1"/>
    <col min="7" max="7" width="13.625" style="0" bestFit="1" customWidth="1"/>
    <col min="8" max="8" width="14.375" style="0" customWidth="1"/>
    <col min="9" max="9" width="14.25390625" style="0" customWidth="1"/>
    <col min="10" max="10" width="14.375" style="0" customWidth="1"/>
  </cols>
  <sheetData>
    <row r="1" spans="1:10" ht="41.25" customHeight="1">
      <c r="A1" s="57" t="s">
        <v>109</v>
      </c>
      <c r="B1" s="57"/>
      <c r="C1" s="57"/>
      <c r="D1" s="57"/>
      <c r="E1" s="57"/>
      <c r="F1" s="57"/>
      <c r="H1" s="57" t="s">
        <v>110</v>
      </c>
      <c r="I1" s="57"/>
      <c r="J1" s="57"/>
    </row>
    <row r="2" spans="1:10" ht="12.75">
      <c r="A2" s="1" t="s">
        <v>69</v>
      </c>
      <c r="B2" s="19" t="s">
        <v>70</v>
      </c>
      <c r="C2" s="1" t="s">
        <v>71</v>
      </c>
      <c r="D2" s="48" t="s">
        <v>72</v>
      </c>
      <c r="E2" s="49"/>
      <c r="F2" s="50"/>
      <c r="H2" s="48" t="s">
        <v>72</v>
      </c>
      <c r="I2" s="49"/>
      <c r="J2" s="50"/>
    </row>
    <row r="3" spans="1:10" ht="12.75">
      <c r="A3" s="1"/>
      <c r="B3" s="1"/>
      <c r="C3" s="1"/>
      <c r="D3" s="1" t="s">
        <v>6</v>
      </c>
      <c r="E3" s="1" t="s">
        <v>18</v>
      </c>
      <c r="F3" s="1" t="s">
        <v>73</v>
      </c>
      <c r="H3" s="1" t="s">
        <v>6</v>
      </c>
      <c r="I3" s="1" t="s">
        <v>18</v>
      </c>
      <c r="J3" s="1" t="s">
        <v>73</v>
      </c>
    </row>
    <row r="4" spans="1:10" ht="12.75">
      <c r="A4" s="1"/>
      <c r="B4" s="48" t="s">
        <v>74</v>
      </c>
      <c r="C4" s="49"/>
      <c r="D4" s="49"/>
      <c r="E4" s="49"/>
      <c r="F4" s="50"/>
      <c r="H4" s="48" t="s">
        <v>83</v>
      </c>
      <c r="I4" s="49"/>
      <c r="J4" s="50"/>
    </row>
    <row r="5" spans="1:10" ht="12.75">
      <c r="A5" s="1">
        <v>1</v>
      </c>
      <c r="B5" s="1" t="s">
        <v>76</v>
      </c>
      <c r="C5" s="1" t="s">
        <v>11</v>
      </c>
      <c r="D5" s="22">
        <v>2124954.95</v>
      </c>
      <c r="E5" s="1">
        <v>177079.58</v>
      </c>
      <c r="F5" s="1">
        <v>12.88</v>
      </c>
      <c r="H5" s="23">
        <f>177079.59*12</f>
        <v>2124955.08</v>
      </c>
      <c r="I5" s="1">
        <v>177079.59</v>
      </c>
      <c r="J5" s="1">
        <v>12.88</v>
      </c>
    </row>
    <row r="6" spans="1:10" ht="12.75">
      <c r="A6" s="1">
        <v>2</v>
      </c>
      <c r="B6" s="1" t="s">
        <v>77</v>
      </c>
      <c r="C6" s="1" t="s">
        <v>11</v>
      </c>
      <c r="D6" s="1">
        <v>191515.56</v>
      </c>
      <c r="E6" s="1">
        <v>15959.63</v>
      </c>
      <c r="F6" s="22">
        <v>1.23</v>
      </c>
      <c r="G6" t="s">
        <v>84</v>
      </c>
      <c r="H6" s="1">
        <f>15959.63*12</f>
        <v>191515.56</v>
      </c>
      <c r="I6" s="1">
        <v>15959.63</v>
      </c>
      <c r="J6" s="24">
        <f>15959.63/13743.1</f>
        <v>1.1612831166185211</v>
      </c>
    </row>
    <row r="7" spans="1:10" ht="12.75">
      <c r="A7" s="1">
        <v>3</v>
      </c>
      <c r="B7" s="1" t="s">
        <v>78</v>
      </c>
      <c r="C7" s="1" t="s">
        <v>11</v>
      </c>
      <c r="D7" s="1"/>
      <c r="E7" s="1"/>
      <c r="F7" s="1"/>
      <c r="H7" s="1"/>
      <c r="I7" s="1"/>
      <c r="J7" s="1"/>
    </row>
    <row r="8" spans="1:10" ht="12.75">
      <c r="A8" s="1">
        <v>4</v>
      </c>
      <c r="B8" s="1" t="s">
        <v>79</v>
      </c>
      <c r="C8" s="1" t="s">
        <v>11</v>
      </c>
      <c r="D8" s="1">
        <v>53100</v>
      </c>
      <c r="E8" s="1">
        <v>4425</v>
      </c>
      <c r="F8" s="22">
        <v>0.34</v>
      </c>
      <c r="G8" t="s">
        <v>84</v>
      </c>
      <c r="H8" s="1">
        <f>4425*12</f>
        <v>53100</v>
      </c>
      <c r="I8" s="1">
        <v>4425</v>
      </c>
      <c r="J8" s="25">
        <f>4425/13743.1</f>
        <v>0.32197975711447924</v>
      </c>
    </row>
    <row r="9" spans="1:10" ht="12.75">
      <c r="A9" s="1">
        <v>5</v>
      </c>
      <c r="B9" s="1" t="s">
        <v>80</v>
      </c>
      <c r="C9" s="1" t="s">
        <v>11</v>
      </c>
      <c r="D9" s="22">
        <v>2500</v>
      </c>
      <c r="E9" s="1">
        <v>208.33</v>
      </c>
      <c r="F9" s="1">
        <v>0.02</v>
      </c>
      <c r="H9" s="23">
        <f>208.33*12</f>
        <v>2499.96</v>
      </c>
      <c r="I9" s="1">
        <v>208.33</v>
      </c>
      <c r="J9" s="25">
        <f>208.33/13743.1</f>
        <v>0.015158879728736602</v>
      </c>
    </row>
    <row r="10" spans="1:10" ht="12.75">
      <c r="A10" s="1">
        <v>6</v>
      </c>
      <c r="B10" s="1" t="s">
        <v>81</v>
      </c>
      <c r="C10" s="1" t="s">
        <v>11</v>
      </c>
      <c r="D10" s="1">
        <v>168079.2</v>
      </c>
      <c r="E10" s="1">
        <v>14006.6</v>
      </c>
      <c r="F10" s="22">
        <v>1.08</v>
      </c>
      <c r="G10" t="s">
        <v>84</v>
      </c>
      <c r="H10" s="1">
        <f>14006.6*12</f>
        <v>168079.2</v>
      </c>
      <c r="I10" s="1">
        <v>14006.6</v>
      </c>
      <c r="J10" s="25">
        <f>14006.6/13743.1</f>
        <v>1.0191732578530317</v>
      </c>
    </row>
    <row r="11" spans="1:10" ht="12.75">
      <c r="A11" s="1">
        <v>7</v>
      </c>
      <c r="B11" s="1" t="s">
        <v>82</v>
      </c>
      <c r="C11" s="1" t="s">
        <v>11</v>
      </c>
      <c r="D11" s="1">
        <v>109241.52</v>
      </c>
      <c r="E11" s="1">
        <v>9103.46</v>
      </c>
      <c r="F11" s="22">
        <v>0.7</v>
      </c>
      <c r="G11" t="s">
        <v>84</v>
      </c>
      <c r="H11" s="1">
        <f>9103.46*12</f>
        <v>109241.51999999999</v>
      </c>
      <c r="I11" s="1">
        <v>9103.46</v>
      </c>
      <c r="J11" s="25">
        <f>9103.46/13743.1</f>
        <v>0.6624022236613282</v>
      </c>
    </row>
    <row r="12" spans="1:10" ht="12.75">
      <c r="A12" s="1"/>
      <c r="B12" s="1"/>
      <c r="C12" s="1"/>
      <c r="D12" s="1"/>
      <c r="E12" s="1"/>
      <c r="F12" s="1"/>
      <c r="H12" s="1"/>
      <c r="I12" s="1"/>
      <c r="J12" s="1"/>
    </row>
    <row r="13" spans="1:10" ht="20.25">
      <c r="A13" s="1"/>
      <c r="B13" s="20" t="s">
        <v>75</v>
      </c>
      <c r="C13" s="20"/>
      <c r="D13" s="21">
        <f>D5+D6+D8+D9+D10+D11</f>
        <v>2649391.2300000004</v>
      </c>
      <c r="E13" s="20">
        <f>E5+E6+E8+E9+E10+E11</f>
        <v>220782.59999999998</v>
      </c>
      <c r="F13" s="58">
        <v>16.27</v>
      </c>
      <c r="H13" s="37">
        <f>H5+H6+H8+H9+H10+H11</f>
        <v>2649391.3200000003</v>
      </c>
      <c r="I13" s="20">
        <f>I5+I6+I8+I9+I10+I11</f>
        <v>220782.61</v>
      </c>
      <c r="J13" s="59">
        <f>J5+J6+J8+J9+J10+J11</f>
        <v>16.059997234976098</v>
      </c>
    </row>
    <row r="16" spans="6:10" ht="12.75">
      <c r="F16" s="22">
        <v>1.23</v>
      </c>
      <c r="J16" s="24">
        <f>15959.63/13743.1</f>
        <v>1.1612831166185211</v>
      </c>
    </row>
    <row r="17" spans="6:10" ht="12.75">
      <c r="F17" s="1"/>
      <c r="J17" s="1"/>
    </row>
    <row r="18" spans="6:10" ht="12.75">
      <c r="F18" s="22">
        <v>0.34</v>
      </c>
      <c r="J18" s="25">
        <f>4425/13743.1</f>
        <v>0.32197975711447924</v>
      </c>
    </row>
    <row r="19" spans="6:10" ht="12.75">
      <c r="F19" s="1">
        <v>0.02</v>
      </c>
      <c r="J19" s="25">
        <f>208.33/13743.1</f>
        <v>0.015158879728736602</v>
      </c>
    </row>
    <row r="20" spans="6:10" ht="12.75">
      <c r="F20" s="22">
        <v>1.08</v>
      </c>
      <c r="J20" s="25">
        <f>14006.6/13743.1</f>
        <v>1.0191732578530317</v>
      </c>
    </row>
    <row r="21" spans="6:10" ht="12.75">
      <c r="F21" s="22">
        <v>0.7</v>
      </c>
      <c r="J21" s="25">
        <f>9103.46/13743.1</f>
        <v>0.6624022236613282</v>
      </c>
    </row>
    <row r="22" spans="6:10" ht="12.75">
      <c r="F22" s="60">
        <f>F16+F18+F19+F20+F21</f>
        <v>3.37</v>
      </c>
      <c r="G22" t="s">
        <v>85</v>
      </c>
      <c r="J22" s="61">
        <f>J16+J18+J19+J20+J21</f>
        <v>3.179997234976097</v>
      </c>
    </row>
    <row r="24" spans="6:10" ht="12.75">
      <c r="F24" s="56" t="s">
        <v>111</v>
      </c>
      <c r="G24" s="56"/>
      <c r="H24" s="56"/>
      <c r="I24" s="56"/>
      <c r="J24" s="56"/>
    </row>
    <row r="25" spans="5:6" ht="12.75">
      <c r="E25" s="56"/>
      <c r="F25" s="56"/>
    </row>
    <row r="27" spans="1:3" ht="90.75" customHeight="1">
      <c r="A27" s="62" t="s">
        <v>112</v>
      </c>
      <c r="B27" s="62"/>
      <c r="C27" s="62"/>
    </row>
    <row r="29" spans="2:7" ht="15.75">
      <c r="B29" s="26" t="s">
        <v>115</v>
      </c>
      <c r="C29" s="63" t="s">
        <v>116</v>
      </c>
      <c r="D29" s="63"/>
      <c r="F29" s="63" t="s">
        <v>117</v>
      </c>
      <c r="G29" s="63"/>
    </row>
    <row r="30" spans="3:9" ht="14.25">
      <c r="C30" s="66" t="s">
        <v>113</v>
      </c>
      <c r="D30" s="66" t="s">
        <v>114</v>
      </c>
      <c r="F30" s="66" t="s">
        <v>113</v>
      </c>
      <c r="G30" s="66" t="s">
        <v>114</v>
      </c>
      <c r="I30" s="29"/>
    </row>
    <row r="31" spans="3:7" ht="15">
      <c r="C31" s="65">
        <f>F13*13743.1</f>
        <v>223600.237</v>
      </c>
      <c r="D31" s="65">
        <f>C31*12</f>
        <v>2683202.844</v>
      </c>
      <c r="F31" s="65">
        <f>J13*13743.1</f>
        <v>220714.14800000002</v>
      </c>
      <c r="G31" s="65">
        <f>F31*12</f>
        <v>2648569.776</v>
      </c>
    </row>
    <row r="33" spans="3:7" ht="33" customHeight="1">
      <c r="C33" s="67" t="s">
        <v>120</v>
      </c>
      <c r="D33" s="67"/>
      <c r="E33" s="67"/>
      <c r="F33" s="67"/>
      <c r="G33" s="67"/>
    </row>
    <row r="36" spans="2:7" ht="25.5">
      <c r="B36" s="54" t="s">
        <v>118</v>
      </c>
      <c r="C36" s="66" t="s">
        <v>113</v>
      </c>
      <c r="D36" s="66" t="s">
        <v>114</v>
      </c>
      <c r="F36" s="66" t="s">
        <v>113</v>
      </c>
      <c r="G36" s="66" t="s">
        <v>114</v>
      </c>
    </row>
    <row r="37" spans="3:7" ht="15">
      <c r="C37" s="64">
        <f>F13*63</f>
        <v>1025.01</v>
      </c>
      <c r="D37" s="64">
        <f>C37*12</f>
        <v>12300.119999999999</v>
      </c>
      <c r="F37" s="65">
        <f>J13*63</f>
        <v>1011.7798258034942</v>
      </c>
      <c r="G37" s="65">
        <f>F37*12</f>
        <v>12141.35790964193</v>
      </c>
    </row>
    <row r="40" spans="3:7" ht="12.75">
      <c r="C40" s="56" t="s">
        <v>119</v>
      </c>
      <c r="D40" s="56"/>
      <c r="E40" s="56"/>
      <c r="F40" s="56"/>
      <c r="G40" s="56"/>
    </row>
  </sheetData>
  <mergeCells count="13">
    <mergeCell ref="C29:D29"/>
    <mergeCell ref="F29:G29"/>
    <mergeCell ref="C40:G40"/>
    <mergeCell ref="C33:G33"/>
    <mergeCell ref="A1:F1"/>
    <mergeCell ref="H1:J1"/>
    <mergeCell ref="F24:J24"/>
    <mergeCell ref="A27:C27"/>
    <mergeCell ref="E25:F25"/>
    <mergeCell ref="D2:F2"/>
    <mergeCell ref="B4:F4"/>
    <mergeCell ref="H2:J2"/>
    <mergeCell ref="H4:J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Оля</cp:lastModifiedBy>
  <cp:lastPrinted>2010-03-09T08:38:45Z</cp:lastPrinted>
  <dcterms:created xsi:type="dcterms:W3CDTF">2010-03-05T07:40:42Z</dcterms:created>
  <dcterms:modified xsi:type="dcterms:W3CDTF">2011-04-06T04:13:16Z</dcterms:modified>
  <cp:category/>
  <cp:version/>
  <cp:contentType/>
  <cp:contentStatus/>
</cp:coreProperties>
</file>