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64" activeTab="0"/>
  </bookViews>
  <sheets>
    <sheet name="Данные" sheetId="1" r:id="rId1"/>
    <sheet name="3-месячные" sheetId="2" r:id="rId2"/>
    <sheet name="6-месячные (первый год)" sheetId="3" r:id="rId3"/>
    <sheet name="6-месячные (стабильно)" sheetId="4" r:id="rId4"/>
    <sheet name="12-месячные (первый год)" sheetId="5" r:id="rId5"/>
    <sheet name="12-месячные (стабильно)" sheetId="6" r:id="rId6"/>
  </sheets>
  <definedNames/>
  <calcPr fullCalcOnLoad="1"/>
</workbook>
</file>

<file path=xl/sharedStrings.xml><?xml version="1.0" encoding="utf-8"?>
<sst xmlns="http://schemas.openxmlformats.org/spreadsheetml/2006/main" count="79" uniqueCount="38">
  <si>
    <t>Последовательные 3-х месячные вклады</t>
  </si>
  <si>
    <t>Доход</t>
  </si>
  <si>
    <t>Дата начала вложений</t>
  </si>
  <si>
    <t>Ставка от 3 до 5 месяцев</t>
  </si>
  <si>
    <t>Ставка от 9 до 11 месяцев</t>
  </si>
  <si>
    <t>Ставка от 12 до 36 месяцев</t>
  </si>
  <si>
    <t>Итог</t>
  </si>
  <si>
    <t>3-х месячный вклад</t>
  </si>
  <si>
    <t>Ставка</t>
  </si>
  <si>
    <t>6-ти месячный вклад</t>
  </si>
  <si>
    <t>Начинается лесенка с одновременного открытия вклада на 3 и 6 месяцев, потом через каждые 3 месяца открывается новый 6-месячный вклад.</t>
  </si>
  <si>
    <t>Подставьте свои данные для расчетов</t>
  </si>
  <si>
    <t>Последние 3 месяца 6-ти месячного вклада</t>
  </si>
  <si>
    <t>Начинается лесенка с одновременного открытия вкладов на 3 и 6 месяцев, потом через каждые 3 месяца открывается новый 6-месячный вклад.</t>
  </si>
  <si>
    <t>Расчет доходности за первый год.</t>
  </si>
  <si>
    <t>Через каждые 3 месяца открывается новый 3-месячный вклад.</t>
  </si>
  <si>
    <t>Начинается лесенка с одновременного открытия вклада на 3, 6 и 12 месяцев, потом через 3 месяца открывается еще один 6-месячный вклад.</t>
  </si>
  <si>
    <t>Через каждые 3 месяца после начала строительства открывается новый 12-месячный вклад.</t>
  </si>
  <si>
    <t>Минимальная сумма вклада</t>
  </si>
  <si>
    <t>Последние 3 месяца 12-ти месячного вклада</t>
  </si>
  <si>
    <t>Последние 6 месяцев 12-ти месячн. вклада</t>
  </si>
  <si>
    <t>Последние 9 месяцев 12-ти месячн. вклада</t>
  </si>
  <si>
    <t>12-ти месячный вклад</t>
  </si>
  <si>
    <t>Обратите внимание, что межбанковские переводы работают только в рабочие дни РФ. Расчеты данный момент не учитывают.</t>
  </si>
  <si>
    <t>Ваша сумма вложений</t>
  </si>
  <si>
    <t>Четыре 12-месячных вклада со сдвигом в 3 месяца (классическая лесенка)</t>
  </si>
  <si>
    <t>Два 6-месячных вклада со сдвигом в 3 месяца (падающая лесенка)</t>
  </si>
  <si>
    <t>Первый год</t>
  </si>
  <si>
    <t>Стабильный режим</t>
  </si>
  <si>
    <t>Итоги расчетов</t>
  </si>
  <si>
    <t>P.s. Авторы: 11..11..11, kiramiD и shop_81</t>
  </si>
  <si>
    <t>Первые 3 месяца 12-ти месячного вклада</t>
  </si>
  <si>
    <t>Первые 6 месяцев 12-ти месячного вклада</t>
  </si>
  <si>
    <t>Первые 9 месяцев 12-ти месячного вклада</t>
  </si>
  <si>
    <t>Первые 3 месяца 6-ти месячного вклада</t>
  </si>
  <si>
    <t>Расчет доходности в стабильном режиме. Стабильный режим начинается через 9 месяцев после начала строительства.</t>
  </si>
  <si>
    <t>Расчет доходности в стабильном режиме. Стабильный режим начинается через 3 месяца после начала строительства.</t>
  </si>
  <si>
    <t>Расчеты предполагают вклады с капитализацией (режим "накапливать проценты на депозите").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</si>
</sst>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2" fillId="35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5" fillId="0" borderId="0" xfId="0" applyFont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" fontId="2" fillId="37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55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0" fontId="2" fillId="39" borderId="0" xfId="55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10" fontId="2" fillId="39" borderId="12" xfId="55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2" fillId="0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5.421875" style="0" customWidth="1"/>
    <col min="2" max="2" width="10.7109375" style="0" customWidth="1"/>
    <col min="6" max="7" width="4.8515625" style="0" customWidth="1"/>
    <col min="8" max="8" width="12.7109375" style="0" customWidth="1"/>
    <col min="9" max="9" width="10.7109375" style="0" customWidth="1"/>
    <col min="10" max="10" width="12.7109375" style="0" customWidth="1"/>
    <col min="11" max="11" width="10.7109375" style="0" customWidth="1"/>
  </cols>
  <sheetData>
    <row r="1" ht="18">
      <c r="A1" s="8" t="s">
        <v>11</v>
      </c>
    </row>
    <row r="2" ht="12.75">
      <c r="A2" s="25" t="s">
        <v>23</v>
      </c>
    </row>
    <row r="3" ht="12.75">
      <c r="A3" s="25" t="s">
        <v>37</v>
      </c>
    </row>
    <row r="4" ht="12.75">
      <c r="A4" s="25"/>
    </row>
    <row r="5" spans="1:2" ht="15.75">
      <c r="A5" s="3" t="s">
        <v>24</v>
      </c>
      <c r="B5" s="15">
        <v>600000</v>
      </c>
    </row>
    <row r="6" ht="12.75">
      <c r="B6" s="16"/>
    </row>
    <row r="7" spans="1:2" ht="15.75">
      <c r="A7" s="3" t="s">
        <v>2</v>
      </c>
      <c r="B7" s="17">
        <v>41284</v>
      </c>
    </row>
    <row r="8" ht="12.75">
      <c r="B8" s="16"/>
    </row>
    <row r="9" ht="12.75">
      <c r="B9" s="16"/>
    </row>
    <row r="10" spans="1:2" ht="15.75">
      <c r="A10" s="3" t="s">
        <v>3</v>
      </c>
      <c r="B10" s="13">
        <v>0.08</v>
      </c>
    </row>
    <row r="11" spans="1:2" ht="15.75">
      <c r="A11" s="3" t="s">
        <v>4</v>
      </c>
      <c r="B11" s="13">
        <v>0.09</v>
      </c>
    </row>
    <row r="12" spans="1:2" ht="15.75">
      <c r="A12" s="3" t="s">
        <v>5</v>
      </c>
      <c r="B12" s="13">
        <v>0.105</v>
      </c>
    </row>
    <row r="14" spans="1:2" ht="15.75">
      <c r="A14" s="3" t="s">
        <v>18</v>
      </c>
      <c r="B14" s="12">
        <v>30000</v>
      </c>
    </row>
    <row r="17" ht="15.75">
      <c r="A17" s="26"/>
    </row>
    <row r="18" ht="15.75">
      <c r="A18" s="26"/>
    </row>
    <row r="19" spans="1:11" ht="12.75">
      <c r="A19" s="64" t="s">
        <v>29</v>
      </c>
      <c r="B19" s="65"/>
      <c r="C19" s="65"/>
      <c r="D19" s="65"/>
      <c r="E19" s="65"/>
      <c r="F19" s="65"/>
      <c r="G19" s="66"/>
      <c r="H19" s="62" t="s">
        <v>27</v>
      </c>
      <c r="I19" s="63"/>
      <c r="J19" s="62" t="s">
        <v>28</v>
      </c>
      <c r="K19" s="63"/>
    </row>
    <row r="20" spans="1:11" ht="12.75">
      <c r="A20" s="67"/>
      <c r="B20" s="68"/>
      <c r="C20" s="68"/>
      <c r="D20" s="68"/>
      <c r="E20" s="68"/>
      <c r="F20" s="68"/>
      <c r="G20" s="69"/>
      <c r="H20" s="27" t="s">
        <v>1</v>
      </c>
      <c r="I20" s="27" t="s">
        <v>8</v>
      </c>
      <c r="J20" s="27" t="s">
        <v>1</v>
      </c>
      <c r="K20" s="27" t="s">
        <v>8</v>
      </c>
    </row>
    <row r="21" spans="1:11" ht="12.75">
      <c r="A21" s="70" t="s">
        <v>0</v>
      </c>
      <c r="B21" s="71"/>
      <c r="C21" s="71"/>
      <c r="D21" s="71"/>
      <c r="E21" s="71"/>
      <c r="F21" s="71"/>
      <c r="G21" s="72"/>
      <c r="H21" s="46">
        <f>'3-месячные'!$C$26</f>
        <v>89673.57533108571</v>
      </c>
      <c r="I21" s="47">
        <f>'3-месячные'!$C$27</f>
        <v>0.14945595888514285</v>
      </c>
      <c r="J21" s="46">
        <f>'3-месячные'!$C$26</f>
        <v>89673.57533108571</v>
      </c>
      <c r="K21" s="47">
        <f>'3-месячные'!$C$27</f>
        <v>0.14945595888514285</v>
      </c>
    </row>
    <row r="22" spans="1:11" ht="12.75">
      <c r="A22" s="70" t="s">
        <v>26</v>
      </c>
      <c r="B22" s="71"/>
      <c r="C22" s="71"/>
      <c r="D22" s="71"/>
      <c r="E22" s="71"/>
      <c r="F22" s="71"/>
      <c r="G22" s="72"/>
      <c r="H22" s="46">
        <f>'6-месячные (первый год)'!$C$26</f>
        <v>93448.97998996428</v>
      </c>
      <c r="I22" s="47">
        <f>'6-месячные (первый год)'!$C$27</f>
        <v>0.1557482999832738</v>
      </c>
      <c r="J22" s="46">
        <f>'6-месячные (стабильно)'!$C$26</f>
        <v>94532.95351768914</v>
      </c>
      <c r="K22" s="47">
        <f>'6-месячные (стабильно)'!$C$27</f>
        <v>0.1575549225294819</v>
      </c>
    </row>
    <row r="23" spans="1:11" ht="12.75">
      <c r="A23" s="70" t="s">
        <v>25</v>
      </c>
      <c r="B23" s="71"/>
      <c r="C23" s="71"/>
      <c r="D23" s="71"/>
      <c r="E23" s="71"/>
      <c r="F23" s="71"/>
      <c r="G23" s="72"/>
      <c r="H23" s="46">
        <f>'12-месячные (первый год)'!$C$26</f>
        <v>94363.51502310112</v>
      </c>
      <c r="I23" s="47">
        <f>'12-месячные (первый год)'!$C$27</f>
        <v>0.15727252503850186</v>
      </c>
      <c r="J23" s="46">
        <f>'12-месячные (стабильно)'!$C$26</f>
        <v>100683.47866097256</v>
      </c>
      <c r="K23" s="47">
        <f>'12-месячные (стабильно)'!$C$27</f>
        <v>0.1678057977682876</v>
      </c>
    </row>
    <row r="29" ht="12.75">
      <c r="A29" t="s">
        <v>30</v>
      </c>
    </row>
  </sheetData>
  <sheetProtection/>
  <mergeCells count="6">
    <mergeCell ref="H19:I19"/>
    <mergeCell ref="J19:K19"/>
    <mergeCell ref="A19:G20"/>
    <mergeCell ref="A21:G21"/>
    <mergeCell ref="A22:G22"/>
    <mergeCell ref="A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140625" style="0" bestFit="1" customWidth="1"/>
    <col min="2" max="2" width="4.7109375" style="0" customWidth="1"/>
    <col min="3" max="3" width="12.57421875" style="4" customWidth="1"/>
    <col min="4" max="4" width="4.00390625" style="4" customWidth="1"/>
    <col min="5" max="5" width="9.8515625" style="4" customWidth="1"/>
    <col min="6" max="6" width="4.7109375" style="4" customWidth="1"/>
    <col min="7" max="7" width="12.57421875" style="4" customWidth="1"/>
    <col min="8" max="8" width="4.00390625" style="4" customWidth="1"/>
    <col min="9" max="9" width="9.8515625" style="4" customWidth="1"/>
    <col min="10" max="10" width="4.7109375" style="4" customWidth="1"/>
    <col min="11" max="11" width="12.57421875" style="4" customWidth="1"/>
    <col min="12" max="12" width="4.00390625" style="4" customWidth="1"/>
    <col min="13" max="13" width="9.8515625" style="4" customWidth="1"/>
    <col min="14" max="14" width="4.7109375" style="4" customWidth="1"/>
    <col min="15" max="15" width="12.57421875" style="4" customWidth="1"/>
    <col min="16" max="16" width="4.00390625" style="4" customWidth="1"/>
    <col min="17" max="17" width="9.8515625" style="4" customWidth="1"/>
  </cols>
  <sheetData>
    <row r="1" spans="1:15" ht="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>
      <c r="A2" s="25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29.25" customHeight="1">
      <c r="A6" s="8"/>
      <c r="B6" s="8"/>
      <c r="C6" s="19" t="s">
        <v>7</v>
      </c>
      <c r="D6" s="20"/>
      <c r="E6" s="21"/>
      <c r="F6" s="8"/>
      <c r="G6" s="19" t="s">
        <v>7</v>
      </c>
      <c r="H6" s="20"/>
      <c r="I6" s="21"/>
      <c r="J6" s="8"/>
      <c r="K6" s="19" t="s">
        <v>7</v>
      </c>
      <c r="L6" s="20"/>
      <c r="M6" s="21"/>
      <c r="N6" s="21"/>
      <c r="O6" s="19" t="s">
        <v>7</v>
      </c>
      <c r="P6" s="20"/>
      <c r="Q6" s="21"/>
    </row>
    <row r="7" spans="1:17" ht="12.75">
      <c r="A7" s="1"/>
      <c r="C7" s="28">
        <f>Данные!B5</f>
        <v>600000</v>
      </c>
      <c r="D7" s="10"/>
      <c r="E7" s="13">
        <f>Данные!B10</f>
        <v>0.08</v>
      </c>
      <c r="F7" s="10"/>
      <c r="G7" s="35">
        <f>C12</f>
        <v>621092.22603758</v>
      </c>
      <c r="H7" s="10"/>
      <c r="I7" s="13">
        <f>Данные!B10</f>
        <v>0.08</v>
      </c>
      <c r="J7" s="10"/>
      <c r="K7" s="35">
        <f>G15</f>
        <v>643066.0083142167</v>
      </c>
      <c r="L7" s="10"/>
      <c r="M7" s="13">
        <f>Данные!B10</f>
        <v>0.08</v>
      </c>
      <c r="N7" s="10"/>
      <c r="O7" s="35">
        <f>K18</f>
        <v>665962.1859594999</v>
      </c>
      <c r="P7" s="10"/>
      <c r="Q7" s="13">
        <f>Данные!B10</f>
        <v>0.08</v>
      </c>
    </row>
    <row r="8" spans="3:17" ht="12.75">
      <c r="C8" s="29"/>
      <c r="D8" s="10"/>
      <c r="E8" s="10"/>
      <c r="F8" s="10"/>
      <c r="G8" s="29"/>
      <c r="H8" s="10"/>
      <c r="I8" s="10"/>
      <c r="J8" s="10"/>
      <c r="K8" s="29"/>
      <c r="L8" s="10"/>
      <c r="M8" s="29"/>
      <c r="N8" s="10"/>
      <c r="O8" s="29"/>
      <c r="P8" s="10"/>
      <c r="Q8" s="29"/>
    </row>
    <row r="9" spans="1:17" ht="12.75">
      <c r="A9" s="7">
        <f>_XLL.ДАТАМЕС(Данные!B7,0)</f>
        <v>41284</v>
      </c>
      <c r="C9" s="30">
        <f>C7*1.015</f>
        <v>608999.9999999999</v>
      </c>
      <c r="D9" s="22">
        <f>A10-A9</f>
        <v>31</v>
      </c>
      <c r="E9" s="36">
        <f>C9*E$7/(DAY(DATE(YEAR($A9),3,0))+337)*(DAY(DATE(YEAR($A9),MONTH($A9)+1,0)-$A9))+C9*(E$7/(DAY(DATE(YEAR($A10),3,0))+337)*DAY($A10))</f>
        <v>4137.863013698629</v>
      </c>
      <c r="F9" s="10"/>
      <c r="G9" s="29"/>
      <c r="H9" s="10"/>
      <c r="I9" s="29"/>
      <c r="J9" s="10"/>
      <c r="K9" s="29"/>
      <c r="L9" s="10"/>
      <c r="M9" s="29"/>
      <c r="N9" s="10"/>
      <c r="O9" s="29"/>
      <c r="P9" s="10"/>
      <c r="Q9" s="29"/>
    </row>
    <row r="10" spans="1:17" ht="12.75">
      <c r="A10" s="6">
        <f>_XLL.ДАТАМЕС(Данные!B7,1)</f>
        <v>41315</v>
      </c>
      <c r="C10" s="31">
        <f>C9+E9</f>
        <v>613137.8630136985</v>
      </c>
      <c r="D10" s="14">
        <f>A11-A10</f>
        <v>28</v>
      </c>
      <c r="E10" s="37">
        <f>C10*E$7/(DAY(DATE(YEAR($A10),3,0))+337)*(DAY(DATE(YEAR($A10),MONTH($A10)+1,0)-$A10))+C10*(E$7/(DAY(DATE(YEAR($A11),3,0))+337)*DAY($A11))</f>
        <v>3762.8186661662594</v>
      </c>
      <c r="F10" s="10"/>
      <c r="G10" s="29"/>
      <c r="H10" s="10"/>
      <c r="I10" s="29"/>
      <c r="J10" s="10"/>
      <c r="K10" s="29"/>
      <c r="L10" s="10"/>
      <c r="M10" s="29"/>
      <c r="N10" s="10"/>
      <c r="O10" s="29"/>
      <c r="P10" s="10"/>
      <c r="Q10" s="29"/>
    </row>
    <row r="11" spans="1:17" ht="12.75">
      <c r="A11" s="6">
        <f>_XLL.ДАТАМЕС(Данные!B7,2)</f>
        <v>41343</v>
      </c>
      <c r="C11" s="32">
        <f>C10+E10</f>
        <v>616900.6816798648</v>
      </c>
      <c r="D11" s="23">
        <f>A12-A11</f>
        <v>31</v>
      </c>
      <c r="E11" s="38">
        <f>C11*E$7/(DAY(DATE(YEAR($A11),3,0))+337)*(DAY(DATE(YEAR($A11),MONTH($A11)+1,0)-$A11))+C11*(E$7/(DAY(DATE(YEAR($A12),3,0))+337)*DAY($A12))</f>
        <v>4191.5443577152455</v>
      </c>
      <c r="F11" s="10"/>
      <c r="G11" s="29"/>
      <c r="H11" s="10"/>
      <c r="I11" s="29"/>
      <c r="J11" s="10"/>
      <c r="K11" s="29"/>
      <c r="L11" s="10"/>
      <c r="M11" s="29"/>
      <c r="N11" s="10"/>
      <c r="O11" s="29"/>
      <c r="P11" s="10"/>
      <c r="Q11" s="29"/>
    </row>
    <row r="12" spans="1:17" ht="12.75">
      <c r="A12" s="6">
        <f>_XLL.ДАТАМЕС(Данные!B7,3)</f>
        <v>41374</v>
      </c>
      <c r="C12" s="33">
        <f>C11+E11</f>
        <v>621092.22603758</v>
      </c>
      <c r="D12" s="11"/>
      <c r="E12" s="33"/>
      <c r="F12" s="10"/>
      <c r="G12" s="30">
        <f>G7*1.015</f>
        <v>630408.6094281437</v>
      </c>
      <c r="H12" s="22">
        <f>A13-A12</f>
        <v>30</v>
      </c>
      <c r="I12" s="36">
        <f>G12*I$7/(DAY(DATE(YEAR($A12),3,0))+337)*(DAY(DATE(YEAR($A12),MONTH($A12)+1,0)-$A12))+G12*(I$7/(DAY(DATE(YEAR($A13),3,0))+337)*DAY($A13))</f>
        <v>4145.152500349437</v>
      </c>
      <c r="J12" s="10"/>
      <c r="K12" s="29"/>
      <c r="L12" s="10"/>
      <c r="M12" s="29"/>
      <c r="N12" s="10"/>
      <c r="O12" s="29"/>
      <c r="P12" s="10"/>
      <c r="Q12" s="29"/>
    </row>
    <row r="13" spans="1:17" ht="12.75">
      <c r="A13" s="6">
        <f>_XLL.ДАТАМЕС(Данные!B7,4)</f>
        <v>41404</v>
      </c>
      <c r="C13" s="29"/>
      <c r="D13" s="10"/>
      <c r="E13" s="29"/>
      <c r="F13" s="10"/>
      <c r="G13" s="31">
        <f>G12+I12</f>
        <v>634553.7619284932</v>
      </c>
      <c r="H13" s="14">
        <f>A14-A13</f>
        <v>31</v>
      </c>
      <c r="I13" s="37">
        <f>G13*I$7/(DAY(DATE(YEAR($A13),3,0))+337)*(DAY(DATE(YEAR($A13),MONTH($A13)+1,0)-$A13))+G13*(I$7/(DAY(DATE(YEAR($A14),3,0))+337)*DAY($A14))</f>
        <v>4311.4885741990765</v>
      </c>
      <c r="J13" s="10"/>
      <c r="K13" s="29"/>
      <c r="L13" s="10"/>
      <c r="M13" s="29"/>
      <c r="N13" s="10"/>
      <c r="O13" s="29"/>
      <c r="P13" s="10"/>
      <c r="Q13" s="29"/>
    </row>
    <row r="14" spans="1:17" ht="12.75">
      <c r="A14" s="6">
        <f>_XLL.ДАТАМЕС(Данные!B7,5)</f>
        <v>41435</v>
      </c>
      <c r="C14" s="34"/>
      <c r="D14" s="10"/>
      <c r="E14" s="29"/>
      <c r="F14" s="10"/>
      <c r="G14" s="32">
        <f>G13+I13</f>
        <v>638865.2505026922</v>
      </c>
      <c r="H14" s="23">
        <f>A15-A14</f>
        <v>30</v>
      </c>
      <c r="I14" s="38">
        <f>G14*I$7/(DAY(DATE(YEAR($A14),3,0))+337)*(DAY(DATE(YEAR($A14),MONTH($A14)+1,0)-$A14))+G14*(I$7/(DAY(DATE(YEAR($A15),3,0))+337)*DAY($A15))</f>
        <v>4200.7578115245515</v>
      </c>
      <c r="J14" s="10"/>
      <c r="K14" s="29"/>
      <c r="L14" s="10"/>
      <c r="M14" s="29"/>
      <c r="N14" s="10"/>
      <c r="O14" s="29"/>
      <c r="P14" s="10"/>
      <c r="Q14" s="29"/>
    </row>
    <row r="15" spans="1:17" ht="12.75">
      <c r="A15" s="6">
        <f>_XLL.ДАТАМЕС(Данные!B7,6)</f>
        <v>41465</v>
      </c>
      <c r="C15" s="29"/>
      <c r="D15" s="10"/>
      <c r="E15" s="29"/>
      <c r="F15" s="10"/>
      <c r="G15" s="33">
        <f>G14+I14</f>
        <v>643066.0083142167</v>
      </c>
      <c r="H15" s="11"/>
      <c r="I15" s="33"/>
      <c r="J15" s="10"/>
      <c r="K15" s="30">
        <f>K7*1.015</f>
        <v>652711.9984389299</v>
      </c>
      <c r="L15" s="22">
        <f>A16-A15</f>
        <v>31</v>
      </c>
      <c r="M15" s="36">
        <f>K15*M$7/(DAY(DATE(YEAR($A15),3,0))+337)*(DAY(DATE(YEAR($A15),MONTH($A15)+1,0)-$A15))+K15*(M$7/(DAY(DATE(YEAR($A16),3,0))+337)*DAY($A16))</f>
        <v>4434.865085283688</v>
      </c>
      <c r="N15" s="10"/>
      <c r="O15" s="29"/>
      <c r="P15" s="10"/>
      <c r="Q15" s="29"/>
    </row>
    <row r="16" spans="1:17" ht="12.75">
      <c r="A16" s="6">
        <f>_XLL.ДАТАМЕС(Данные!B7,7)</f>
        <v>41496</v>
      </c>
      <c r="C16" s="29"/>
      <c r="D16" s="10"/>
      <c r="E16" s="29"/>
      <c r="F16" s="10"/>
      <c r="G16" s="29"/>
      <c r="H16" s="10"/>
      <c r="I16" s="29"/>
      <c r="J16" s="10"/>
      <c r="K16" s="31">
        <f>K15+M15</f>
        <v>657146.8635242135</v>
      </c>
      <c r="L16" s="14">
        <f>A17-A16</f>
        <v>31</v>
      </c>
      <c r="M16" s="37">
        <f>K16*M$7/(DAY(DATE(YEAR($A16),3,0))+337)*(DAY(DATE(YEAR($A16),MONTH($A16)+1,0)-$A16))+K16*(M$7/(DAY(DATE(YEAR($A17),3,0))+337)*DAY($A17))</f>
        <v>4464.997867233013</v>
      </c>
      <c r="N16" s="10"/>
      <c r="O16" s="29"/>
      <c r="P16" s="10"/>
      <c r="Q16" s="29"/>
    </row>
    <row r="17" spans="1:17" ht="12.75">
      <c r="A17" s="6">
        <f>_XLL.ДАТАМЕС(Данные!B7,8)</f>
        <v>41527</v>
      </c>
      <c r="C17" s="29"/>
      <c r="D17" s="10"/>
      <c r="E17" s="29"/>
      <c r="F17" s="10"/>
      <c r="G17" s="29"/>
      <c r="H17" s="10"/>
      <c r="I17" s="29"/>
      <c r="J17" s="10"/>
      <c r="K17" s="32">
        <f>K16+M16</f>
        <v>661611.8613914466</v>
      </c>
      <c r="L17" s="23">
        <f>A18-A17</f>
        <v>30</v>
      </c>
      <c r="M17" s="38">
        <f>K17*M$7/(DAY(DATE(YEAR($A17),3,0))+337)*(DAY(DATE(YEAR($A17),MONTH($A17)+1,0)-$A17))+K17*(M$7/(DAY(DATE(YEAR($A18),3,0))+337)*DAY($A18))</f>
        <v>4350.324568053347</v>
      </c>
      <c r="N17" s="10"/>
      <c r="O17" s="29"/>
      <c r="P17" s="10"/>
      <c r="Q17" s="29"/>
    </row>
    <row r="18" spans="1:17" ht="12.75">
      <c r="A18" s="6">
        <f>_XLL.ДАТАМЕС(Данные!B7,9)</f>
        <v>41557</v>
      </c>
      <c r="C18" s="29"/>
      <c r="D18" s="10"/>
      <c r="E18" s="29"/>
      <c r="F18" s="10"/>
      <c r="G18" s="29"/>
      <c r="H18" s="10"/>
      <c r="I18" s="29"/>
      <c r="J18" s="10"/>
      <c r="K18" s="33">
        <f>K17+M17</f>
        <v>665962.1859594999</v>
      </c>
      <c r="L18" s="11"/>
      <c r="M18" s="33"/>
      <c r="N18" s="10"/>
      <c r="O18" s="30">
        <f>O7*1.015</f>
        <v>675951.6187488923</v>
      </c>
      <c r="P18" s="22">
        <f>A19-A18</f>
        <v>31</v>
      </c>
      <c r="Q18" s="36">
        <f>O18*Q$7/(DAY(DATE(YEAR($A18),3,0))+337)*(DAY(DATE(YEAR($A18),MONTH($A18)+1,0)-$A18))+O18*(Q$7/(DAY(DATE(YEAR($A19),3,0))+337)*DAY($A19))</f>
        <v>4592.767163006172</v>
      </c>
    </row>
    <row r="19" spans="1:17" ht="12.75">
      <c r="A19" s="6">
        <f>_XLL.ДАТАМЕС(Данные!B7,10)</f>
        <v>41588</v>
      </c>
      <c r="C19" s="29"/>
      <c r="D19" s="10"/>
      <c r="E19" s="29"/>
      <c r="F19" s="10"/>
      <c r="G19" s="29"/>
      <c r="H19" s="10"/>
      <c r="I19" s="29"/>
      <c r="J19" s="10"/>
      <c r="K19" s="29"/>
      <c r="L19" s="10"/>
      <c r="M19" s="29"/>
      <c r="N19" s="10"/>
      <c r="O19" s="31">
        <f>O18+Q18</f>
        <v>680544.3859118985</v>
      </c>
      <c r="P19" s="14">
        <f>A20-A19</f>
        <v>30</v>
      </c>
      <c r="Q19" s="37">
        <f>O19*Q$7/(DAY(DATE(YEAR($A19),3,0))+337)*(DAY(DATE(YEAR($A19),MONTH($A19)+1,0)-$A19))+O19*(Q$7/(DAY(DATE(YEAR($A20),3,0))+337)*DAY($A20))</f>
        <v>4474.812400516593</v>
      </c>
    </row>
    <row r="20" spans="1:17" ht="12.75">
      <c r="A20" s="6">
        <f>_XLL.ДАТАМЕС(Данные!B7,11)</f>
        <v>41618</v>
      </c>
      <c r="C20" s="29"/>
      <c r="D20" s="10"/>
      <c r="E20" s="29"/>
      <c r="F20" s="10"/>
      <c r="G20" s="29"/>
      <c r="H20" s="10"/>
      <c r="I20" s="29"/>
      <c r="J20" s="10"/>
      <c r="K20" s="29"/>
      <c r="L20" s="10"/>
      <c r="M20" s="29"/>
      <c r="N20" s="10"/>
      <c r="O20" s="32">
        <f>O19+Q19</f>
        <v>685019.198312415</v>
      </c>
      <c r="P20" s="23">
        <f>A21-A20</f>
        <v>31</v>
      </c>
      <c r="Q20" s="38">
        <f>O20*Q$7/(DAY(DATE(YEAR($A20),3,0))+337)*(DAY(DATE(YEAR($A20),MONTH($A20)+1,0)-$A20))+O20*(Q$7/(DAY(DATE(YEAR($A21),3,0))+337)*DAY($A21))</f>
        <v>4654.377018670655</v>
      </c>
    </row>
    <row r="21" spans="1:17" ht="12.75">
      <c r="A21" s="6">
        <f>_XLL.ДАТАМЕС(Данные!B7,12)</f>
        <v>41649</v>
      </c>
      <c r="C21" s="29"/>
      <c r="D21" s="10"/>
      <c r="E21" s="29"/>
      <c r="F21" s="10"/>
      <c r="G21" s="29"/>
      <c r="H21" s="10"/>
      <c r="I21" s="29"/>
      <c r="J21" s="10"/>
      <c r="K21" s="29"/>
      <c r="L21" s="10"/>
      <c r="M21" s="29"/>
      <c r="N21" s="10"/>
      <c r="O21" s="39">
        <f>O20+Q20</f>
        <v>689673.5753310857</v>
      </c>
      <c r="P21" s="11"/>
      <c r="Q21" s="33"/>
    </row>
    <row r="22" spans="1:17" ht="12.75">
      <c r="A22" s="6"/>
      <c r="C22" s="29"/>
      <c r="D22" s="10"/>
      <c r="E22" s="29"/>
      <c r="F22" s="10"/>
      <c r="G22" s="29"/>
      <c r="H22" s="10"/>
      <c r="I22" s="29"/>
      <c r="J22" s="10"/>
      <c r="K22" s="29"/>
      <c r="L22" s="10"/>
      <c r="M22" s="29"/>
      <c r="N22" s="10"/>
      <c r="O22" s="39"/>
      <c r="P22" s="11"/>
      <c r="Q22" s="33"/>
    </row>
    <row r="23" spans="3:17" ht="16.5" customHeight="1">
      <c r="C23" s="19" t="s">
        <v>6</v>
      </c>
      <c r="D23" s="20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6">
        <f>_XLL.ДАТАМЕС(Данные!B7,0)</f>
        <v>41284</v>
      </c>
      <c r="C24" s="40">
        <f>C7</f>
        <v>600000</v>
      </c>
      <c r="D24" s="24">
        <f>A21-A9</f>
        <v>365</v>
      </c>
      <c r="E24" s="9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6">
        <f>_XLL.ДАТАМЕС(Данные!B7,12)</f>
        <v>41649</v>
      </c>
      <c r="C25" s="41">
        <f>O21</f>
        <v>689673.5753310857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1</v>
      </c>
      <c r="C26" s="42">
        <f>C25-C24</f>
        <v>89673.57533108571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8</v>
      </c>
      <c r="C27" s="45">
        <f>C26/C24</f>
        <v>0.14945595888514285</v>
      </c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ht="12.75">
      <c r="A28" s="6"/>
    </row>
    <row r="29" ht="12.75">
      <c r="A29" s="6"/>
    </row>
    <row r="30" ht="12.75">
      <c r="A30" s="2"/>
    </row>
    <row r="31" ht="12.75">
      <c r="A31" s="2"/>
    </row>
    <row r="32" ht="12.75">
      <c r="A32" s="2"/>
    </row>
    <row r="33" ht="12.75">
      <c r="A3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140625" style="0" bestFit="1" customWidth="1"/>
    <col min="2" max="2" width="4.7109375" style="0" customWidth="1"/>
    <col min="3" max="3" width="12.57421875" style="4" customWidth="1"/>
    <col min="4" max="4" width="4.00390625" style="4" bestFit="1" customWidth="1"/>
    <col min="5" max="5" width="9.8515625" style="4" customWidth="1"/>
    <col min="6" max="6" width="4.7109375" style="4" customWidth="1"/>
    <col min="7" max="7" width="12.57421875" style="4" customWidth="1"/>
    <col min="8" max="8" width="4.00390625" style="4" customWidth="1"/>
    <col min="9" max="9" width="9.8515625" style="4" customWidth="1"/>
    <col min="10" max="10" width="4.7109375" style="4" customWidth="1"/>
    <col min="11" max="11" width="12.57421875" style="4" customWidth="1"/>
    <col min="12" max="12" width="4.00390625" style="4" customWidth="1"/>
    <col min="13" max="13" width="9.8515625" style="4" customWidth="1"/>
    <col min="14" max="14" width="4.7109375" style="4" customWidth="1"/>
    <col min="15" max="15" width="12.57421875" style="4" customWidth="1"/>
    <col min="16" max="16" width="4.00390625" style="4" customWidth="1"/>
    <col min="17" max="17" width="9.8515625" style="4" customWidth="1"/>
    <col min="18" max="18" width="5.140625" style="0" customWidth="1"/>
    <col min="19" max="19" width="12.57421875" style="4" customWidth="1"/>
    <col min="20" max="20" width="4.00390625" style="4" customWidth="1"/>
    <col min="21" max="21" width="9.8515625" style="4" customWidth="1"/>
  </cols>
  <sheetData>
    <row r="1" spans="1:19" ht="18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S1" s="8"/>
    </row>
    <row r="2" spans="1:19" ht="18">
      <c r="A2" s="25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S2" s="8"/>
    </row>
    <row r="3" spans="1:19" ht="18">
      <c r="A3" s="25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</row>
    <row r="4" spans="1:19" ht="18">
      <c r="A4" s="2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S4" s="8"/>
    </row>
    <row r="5" spans="1:19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S5" s="8"/>
    </row>
    <row r="6" spans="1:21" ht="29.25" customHeight="1">
      <c r="A6" s="8"/>
      <c r="B6" s="8"/>
      <c r="C6" s="19" t="s">
        <v>7</v>
      </c>
      <c r="D6" s="20"/>
      <c r="E6" s="21"/>
      <c r="F6" s="8"/>
      <c r="G6" s="19" t="s">
        <v>9</v>
      </c>
      <c r="H6" s="20"/>
      <c r="I6" s="21"/>
      <c r="J6" s="21"/>
      <c r="K6" s="19" t="s">
        <v>9</v>
      </c>
      <c r="L6" s="20"/>
      <c r="M6" s="21"/>
      <c r="N6" s="21"/>
      <c r="O6" s="19" t="s">
        <v>9</v>
      </c>
      <c r="P6" s="20"/>
      <c r="Q6" s="21"/>
      <c r="S6" s="73" t="s">
        <v>34</v>
      </c>
      <c r="T6" s="73"/>
      <c r="U6" s="73"/>
    </row>
    <row r="7" spans="1:21" ht="12.75">
      <c r="A7" s="1"/>
      <c r="C7" s="28">
        <f>Данные!B5-G7</f>
        <v>570000</v>
      </c>
      <c r="D7" s="10"/>
      <c r="E7" s="13">
        <f>Данные!B10</f>
        <v>0.08</v>
      </c>
      <c r="F7" s="10"/>
      <c r="G7" s="35">
        <f>Данные!$B$14</f>
        <v>30000</v>
      </c>
      <c r="H7" s="10"/>
      <c r="I7" s="13">
        <f>Данные!B11</f>
        <v>0.09</v>
      </c>
      <c r="J7" s="10"/>
      <c r="K7" s="35">
        <f>Данные!$B$14</f>
        <v>30000</v>
      </c>
      <c r="L7" s="10"/>
      <c r="M7" s="13">
        <f>Данные!B11</f>
        <v>0.09</v>
      </c>
      <c r="N7" s="10"/>
      <c r="O7" s="35">
        <f>Данные!$B$14</f>
        <v>30000</v>
      </c>
      <c r="P7" s="10"/>
      <c r="Q7" s="13">
        <f>Данные!B11</f>
        <v>0.09</v>
      </c>
      <c r="S7" s="35">
        <f>Данные!$B$14</f>
        <v>30000</v>
      </c>
      <c r="T7" s="10"/>
      <c r="U7" s="13">
        <f>Данные!B11</f>
        <v>0.09</v>
      </c>
    </row>
    <row r="8" spans="3:21" ht="12.75">
      <c r="C8" s="29"/>
      <c r="D8" s="10"/>
      <c r="E8" s="10"/>
      <c r="F8" s="10"/>
      <c r="G8" s="29"/>
      <c r="H8" s="10"/>
      <c r="I8" s="10"/>
      <c r="J8" s="10"/>
      <c r="K8" s="29"/>
      <c r="L8" s="10"/>
      <c r="M8" s="10"/>
      <c r="N8" s="10"/>
      <c r="O8" s="29"/>
      <c r="P8" s="10"/>
      <c r="Q8" s="29"/>
      <c r="S8" s="29"/>
      <c r="T8" s="10"/>
      <c r="U8" s="10"/>
    </row>
    <row r="9" spans="1:21" ht="12.75">
      <c r="A9" s="7">
        <f>_XLL.ДАТАМЕС(Данные!B7,0)</f>
        <v>41284</v>
      </c>
      <c r="C9" s="30">
        <f>C7*1.015</f>
        <v>578550</v>
      </c>
      <c r="D9" s="22">
        <f>A10-A9</f>
        <v>31</v>
      </c>
      <c r="E9" s="36">
        <f>C9*E$7/(DAY(DATE(YEAR($A9),3,0))+337)*(DAY(DATE(YEAR($A9),MONTH($A9)+1,0)-$A9))+C9*(E$7/(DAY(DATE(YEAR($A10),3,0))+337)*DAY($A10))</f>
        <v>3930.969863013698</v>
      </c>
      <c r="F9" s="10"/>
      <c r="G9" s="30">
        <f>G7*1.015</f>
        <v>30449.999999999996</v>
      </c>
      <c r="H9" s="22">
        <f>A10-A9</f>
        <v>31</v>
      </c>
      <c r="I9" s="36">
        <f aca="true" t="shared" si="0" ref="I9:I14">G9*I$7/(DAY(DATE(YEAR($A9),3,0))+337)*(DAY(DATE(YEAR($A9),MONTH($A9)+1,0)-$A9))+G9*(I$7/(DAY(DATE(YEAR($A10),3,0))+337)*DAY($A10))</f>
        <v>232.75479452054788</v>
      </c>
      <c r="J9" s="10"/>
      <c r="K9" s="29"/>
      <c r="L9" s="10"/>
      <c r="M9" s="29"/>
      <c r="N9" s="10"/>
      <c r="O9" s="29"/>
      <c r="P9" s="10"/>
      <c r="Q9" s="29"/>
      <c r="S9"/>
      <c r="T9"/>
      <c r="U9"/>
    </row>
    <row r="10" spans="1:21" ht="12.75">
      <c r="A10" s="6">
        <f>_XLL.ДАТАМЕС(Данные!B7,1)</f>
        <v>41315</v>
      </c>
      <c r="C10" s="31">
        <f>C9+E9</f>
        <v>582480.9698630137</v>
      </c>
      <c r="D10" s="14">
        <f>A11-A10</f>
        <v>28</v>
      </c>
      <c r="E10" s="37">
        <f>C10*E$7/(DAY(DATE(YEAR($A10),3,0))+337)*(DAY(DATE(YEAR($A10),MONTH($A10)+1,0)-$A10))+C10*(E$7/(DAY(DATE(YEAR($A11),3,0))+337)*DAY($A11))</f>
        <v>3574.6777328579474</v>
      </c>
      <c r="F10" s="10"/>
      <c r="G10" s="31">
        <f>G9+I9</f>
        <v>30682.754794520544</v>
      </c>
      <c r="H10" s="14">
        <f>A11-A10</f>
        <v>28</v>
      </c>
      <c r="I10" s="37">
        <f t="shared" si="0"/>
        <v>211.8371015950459</v>
      </c>
      <c r="J10" s="10"/>
      <c r="K10" s="29"/>
      <c r="L10" s="10"/>
      <c r="M10" s="29"/>
      <c r="N10" s="10"/>
      <c r="O10" s="29"/>
      <c r="P10" s="10"/>
      <c r="Q10" s="29"/>
      <c r="S10"/>
      <c r="T10"/>
      <c r="U10"/>
    </row>
    <row r="11" spans="1:21" ht="12.75">
      <c r="A11" s="6">
        <f>_XLL.ДАТАМЕС(Данные!B7,2)</f>
        <v>41343</v>
      </c>
      <c r="C11" s="32">
        <f>C10+E10</f>
        <v>586055.6475958717</v>
      </c>
      <c r="D11" s="23">
        <f>A12-A11</f>
        <v>31</v>
      </c>
      <c r="E11" s="38">
        <f>C11*E$7/(DAY(DATE(YEAR($A11),3,0))+337)*(DAY(DATE(YEAR($A11),MONTH($A11)+1,0)-$A11))+C11*(E$7/(DAY(DATE(YEAR($A12),3,0))+337)*DAY($A12))</f>
        <v>3981.967139829484</v>
      </c>
      <c r="F11" s="10"/>
      <c r="G11" s="31">
        <f>G10+I10</f>
        <v>30894.59189611559</v>
      </c>
      <c r="H11" s="14">
        <f>A12-A11</f>
        <v>31</v>
      </c>
      <c r="I11" s="37">
        <f t="shared" si="0"/>
        <v>236.15318189085616</v>
      </c>
      <c r="J11" s="10"/>
      <c r="K11" s="29"/>
      <c r="L11" s="10"/>
      <c r="M11" s="29"/>
      <c r="N11" s="10"/>
      <c r="O11" s="29"/>
      <c r="P11" s="10"/>
      <c r="Q11" s="29"/>
      <c r="S11"/>
      <c r="T11"/>
      <c r="U11"/>
    </row>
    <row r="12" spans="1:21" ht="12.75">
      <c r="A12" s="6">
        <f>_XLL.ДАТАМЕС(Данные!B7,3)</f>
        <v>41374</v>
      </c>
      <c r="C12" s="33">
        <f>C11+E11</f>
        <v>590037.6147357012</v>
      </c>
      <c r="D12" s="11"/>
      <c r="E12" s="33"/>
      <c r="F12" s="10"/>
      <c r="G12" s="43">
        <f>G11+I11+(C12-K7)*1.015</f>
        <v>599568.9240347431</v>
      </c>
      <c r="H12" s="14">
        <f>$A13-$A12</f>
        <v>30</v>
      </c>
      <c r="I12" s="37">
        <f t="shared" si="0"/>
        <v>4435.167383270702</v>
      </c>
      <c r="J12" s="10"/>
      <c r="K12" s="30">
        <f>K7*1.015</f>
        <v>30449.999999999996</v>
      </c>
      <c r="L12" s="22">
        <f aca="true" t="shared" si="1" ref="L12:L17">A13-A12</f>
        <v>30</v>
      </c>
      <c r="M12" s="36">
        <f aca="true" t="shared" si="2" ref="M12:M17">K12*M$7/(DAY(DATE(YEAR($A12),3,0))+337)*(DAY(DATE(YEAR($A12),MONTH($A12)+1,0)-$A12))+K12*(M$7/(DAY(DATE(YEAR($A13),3,0))+337)*DAY($A13))</f>
        <v>225.2465753424657</v>
      </c>
      <c r="N12" s="10"/>
      <c r="O12" s="29"/>
      <c r="P12" s="10"/>
      <c r="Q12" s="29"/>
      <c r="S12"/>
      <c r="T12"/>
      <c r="U12"/>
    </row>
    <row r="13" spans="1:21" ht="12.75">
      <c r="A13" s="6">
        <f>_XLL.ДАТАМЕС(Данные!B7,4)</f>
        <v>41404</v>
      </c>
      <c r="C13" s="29"/>
      <c r="D13" s="10"/>
      <c r="E13" s="29"/>
      <c r="F13" s="10"/>
      <c r="G13" s="31">
        <f>G12+I12</f>
        <v>604004.0914180138</v>
      </c>
      <c r="H13" s="14">
        <f>A14-A13</f>
        <v>31</v>
      </c>
      <c r="I13" s="37">
        <f t="shared" si="0"/>
        <v>4616.907986455502</v>
      </c>
      <c r="J13" s="10"/>
      <c r="K13" s="31">
        <f>K12+M12</f>
        <v>30675.246575342462</v>
      </c>
      <c r="L13" s="14">
        <f t="shared" si="1"/>
        <v>31</v>
      </c>
      <c r="M13" s="37">
        <f t="shared" si="2"/>
        <v>234.47654231563143</v>
      </c>
      <c r="N13" s="10"/>
      <c r="O13" s="29"/>
      <c r="P13" s="10"/>
      <c r="Q13" s="29"/>
      <c r="S13"/>
      <c r="T13"/>
      <c r="U13"/>
    </row>
    <row r="14" spans="1:21" ht="12.75">
      <c r="A14" s="6">
        <f>_XLL.ДАТАМЕС(Данные!B7,5)</f>
        <v>41435</v>
      </c>
      <c r="C14" s="34"/>
      <c r="D14" s="10"/>
      <c r="E14" s="29"/>
      <c r="F14" s="10"/>
      <c r="G14" s="32">
        <f>G13+I13</f>
        <v>608620.9994044693</v>
      </c>
      <c r="H14" s="23">
        <f>A15-A14</f>
        <v>30</v>
      </c>
      <c r="I14" s="38">
        <f t="shared" si="0"/>
        <v>4502.127940800184</v>
      </c>
      <c r="J14" s="10"/>
      <c r="K14" s="31">
        <f>K13+M13</f>
        <v>30909.723117658094</v>
      </c>
      <c r="L14" s="14">
        <f t="shared" si="1"/>
        <v>30</v>
      </c>
      <c r="M14" s="37">
        <f t="shared" si="2"/>
        <v>228.64726689774477</v>
      </c>
      <c r="N14" s="10"/>
      <c r="O14" s="29"/>
      <c r="P14" s="10"/>
      <c r="Q14" s="29"/>
      <c r="S14"/>
      <c r="T14"/>
      <c r="U14"/>
    </row>
    <row r="15" spans="1:21" ht="12.75">
      <c r="A15" s="6">
        <f>_XLL.ДАТАМЕС(Данные!B7,6)</f>
        <v>41465</v>
      </c>
      <c r="C15" s="29"/>
      <c r="D15" s="10"/>
      <c r="E15" s="29"/>
      <c r="F15" s="10"/>
      <c r="G15" s="33">
        <f>G14+I14</f>
        <v>613123.1273452694</v>
      </c>
      <c r="H15" s="11"/>
      <c r="I15" s="33"/>
      <c r="J15" s="10"/>
      <c r="K15" s="43">
        <f>K14+M14+(G15-O7)*1.015</f>
        <v>623008.3446400043</v>
      </c>
      <c r="L15" s="14">
        <f t="shared" si="1"/>
        <v>31</v>
      </c>
      <c r="M15" s="37">
        <f t="shared" si="2"/>
        <v>4762.173374097567</v>
      </c>
      <c r="N15" s="10"/>
      <c r="O15" s="30">
        <f>O7*1.015</f>
        <v>30449.999999999996</v>
      </c>
      <c r="P15" s="22">
        <f aca="true" t="shared" si="3" ref="P15:P20">A16-A15</f>
        <v>31</v>
      </c>
      <c r="Q15" s="36">
        <f aca="true" t="shared" si="4" ref="Q15:Q20">O15*Q$7/(DAY(DATE(YEAR($A15),3,0))+337)*(DAY(DATE(YEAR($A15),MONTH($A15)+1,0)-$A15))+O15*(Q$7/(DAY(DATE(YEAR($A16),3,0))+337)*DAY($A16))</f>
        <v>232.75479452054788</v>
      </c>
      <c r="S15"/>
      <c r="T15"/>
      <c r="U15"/>
    </row>
    <row r="16" spans="1:21" ht="12.75">
      <c r="A16" s="6">
        <f>_XLL.ДАТАМЕС(Данные!B7,7)</f>
        <v>41496</v>
      </c>
      <c r="C16" s="29"/>
      <c r="D16" s="10"/>
      <c r="E16" s="29"/>
      <c r="F16" s="10"/>
      <c r="G16" s="29"/>
      <c r="H16" s="10"/>
      <c r="I16" s="29"/>
      <c r="J16" s="10"/>
      <c r="K16" s="31">
        <f>K15+M15</f>
        <v>627770.5180141019</v>
      </c>
      <c r="L16" s="14">
        <f t="shared" si="1"/>
        <v>31</v>
      </c>
      <c r="M16" s="37">
        <f t="shared" si="2"/>
        <v>4798.574644546149</v>
      </c>
      <c r="N16" s="10"/>
      <c r="O16" s="31">
        <f>O15+Q15</f>
        <v>30682.754794520544</v>
      </c>
      <c r="P16" s="14">
        <f t="shared" si="3"/>
        <v>31</v>
      </c>
      <c r="Q16" s="37">
        <f t="shared" si="4"/>
        <v>234.53393390880086</v>
      </c>
      <c r="S16"/>
      <c r="T16"/>
      <c r="U16"/>
    </row>
    <row r="17" spans="1:21" ht="12.75">
      <c r="A17" s="6">
        <f>_XLL.ДАТАМЕС(Данные!B7,8)</f>
        <v>41527</v>
      </c>
      <c r="C17" s="29"/>
      <c r="D17" s="10"/>
      <c r="E17" s="29"/>
      <c r="F17" s="10"/>
      <c r="G17" s="29"/>
      <c r="H17" s="10"/>
      <c r="I17" s="29"/>
      <c r="J17" s="10"/>
      <c r="K17" s="32">
        <f>K16+M16</f>
        <v>632569.092658648</v>
      </c>
      <c r="L17" s="23">
        <f t="shared" si="1"/>
        <v>30</v>
      </c>
      <c r="M17" s="38">
        <f t="shared" si="2"/>
        <v>4679.27821966671</v>
      </c>
      <c r="N17" s="10"/>
      <c r="O17" s="31">
        <f>O16+Q16</f>
        <v>30917.288728429347</v>
      </c>
      <c r="P17" s="14">
        <f t="shared" si="3"/>
        <v>30</v>
      </c>
      <c r="Q17" s="37">
        <f t="shared" si="4"/>
        <v>228.7032316897513</v>
      </c>
      <c r="S17"/>
      <c r="T17"/>
      <c r="U17"/>
    </row>
    <row r="18" spans="1:21" ht="12.75">
      <c r="A18" s="6">
        <f>_XLL.ДАТАМЕС(Данные!B7,9)</f>
        <v>41557</v>
      </c>
      <c r="C18" s="29"/>
      <c r="D18" s="10"/>
      <c r="E18" s="29"/>
      <c r="F18" s="10"/>
      <c r="G18" s="29"/>
      <c r="H18" s="10"/>
      <c r="I18" s="29"/>
      <c r="J18" s="10"/>
      <c r="K18" s="33">
        <f>K17+M17</f>
        <v>637248.3708783147</v>
      </c>
      <c r="L18" s="10"/>
      <c r="M18" s="29"/>
      <c r="N18" s="10"/>
      <c r="O18" s="43">
        <f>O17+Q17+(K18-S7)*1.015</f>
        <v>647503.0884016085</v>
      </c>
      <c r="P18" s="14">
        <f t="shared" si="3"/>
        <v>31</v>
      </c>
      <c r="Q18" s="37">
        <f t="shared" si="4"/>
        <v>4949.407168878049</v>
      </c>
      <c r="S18" s="30">
        <f>S$7*1.015</f>
        <v>30449.999999999996</v>
      </c>
      <c r="T18" s="22">
        <f>$A19-$A18</f>
        <v>31</v>
      </c>
      <c r="U18" s="36">
        <f>S18*U$7/(DAY(DATE(YEAR($A18),3,0))+337)*(DAY(DATE(YEAR($A18),MONTH($A18)+1,0)-$A18))+S18*(U$7/(DAY(DATE(YEAR($A19),3,0))+337)*DAY($A19))</f>
        <v>232.75479452054788</v>
      </c>
    </row>
    <row r="19" spans="1:21" ht="12.75">
      <c r="A19" s="6">
        <f>_XLL.ДАТАМЕС(Данные!B7,10)</f>
        <v>41588</v>
      </c>
      <c r="C19" s="29"/>
      <c r="D19" s="10"/>
      <c r="E19" s="29"/>
      <c r="F19" s="10"/>
      <c r="G19" s="29"/>
      <c r="H19" s="10"/>
      <c r="I19" s="29"/>
      <c r="J19" s="10"/>
      <c r="K19" s="29"/>
      <c r="L19" s="10"/>
      <c r="M19" s="29"/>
      <c r="N19" s="10"/>
      <c r="O19" s="31">
        <f>O18+Q18</f>
        <v>652452.4955704865</v>
      </c>
      <c r="P19" s="14">
        <f t="shared" si="3"/>
        <v>30</v>
      </c>
      <c r="Q19" s="37">
        <f t="shared" si="4"/>
        <v>4826.360926137845</v>
      </c>
      <c r="S19" s="31">
        <f>S18+U18</f>
        <v>30682.754794520544</v>
      </c>
      <c r="T19" s="14">
        <f>$A20-$A19</f>
        <v>30</v>
      </c>
      <c r="U19" s="37">
        <f>S19*U$7/(DAY(DATE(YEAR($A19),3,0))+337)*(DAY(DATE(YEAR($A19),MONTH($A19)+1,0)-$A19))+S19*(U$7/(DAY(DATE(YEAR($A20),3,0))+337)*DAY($A20))</f>
        <v>226.9683231375492</v>
      </c>
    </row>
    <row r="20" spans="1:21" ht="12.75">
      <c r="A20" s="6">
        <f>_XLL.ДАТАМЕС(Данные!B7,11)</f>
        <v>41618</v>
      </c>
      <c r="C20" s="29"/>
      <c r="D20" s="10"/>
      <c r="E20" s="29"/>
      <c r="F20" s="10"/>
      <c r="G20" s="29"/>
      <c r="H20" s="10"/>
      <c r="I20" s="29"/>
      <c r="J20" s="10"/>
      <c r="K20" s="29"/>
      <c r="L20" s="10"/>
      <c r="M20" s="29"/>
      <c r="N20" s="10"/>
      <c r="O20" s="32">
        <f>O19+Q19</f>
        <v>657278.8564966244</v>
      </c>
      <c r="P20" s="23">
        <f t="shared" si="3"/>
        <v>31</v>
      </c>
      <c r="Q20" s="38">
        <f t="shared" si="4"/>
        <v>5024.131533220772</v>
      </c>
      <c r="S20" s="31">
        <f>S19+U19</f>
        <v>30909.723117658094</v>
      </c>
      <c r="T20" s="14">
        <f>$A21-$A20</f>
        <v>31</v>
      </c>
      <c r="U20" s="37">
        <f>S20*U$7/(DAY(DATE(YEAR($A20),3,0))+337)*(DAY(DATE(YEAR($A20),MONTH($A20)+1,0)-$A20))+S20*(U$7/(DAY(DATE(YEAR($A21),3,0))+337)*DAY($A21))</f>
        <v>236.26884246100298</v>
      </c>
    </row>
    <row r="21" spans="1:21" ht="12.75">
      <c r="A21" s="6">
        <f>_XLL.ДАТАМЕС(Данные!B7,12)</f>
        <v>41649</v>
      </c>
      <c r="C21" s="29"/>
      <c r="D21" s="10"/>
      <c r="E21" s="29"/>
      <c r="F21" s="10"/>
      <c r="G21" s="29"/>
      <c r="H21" s="10"/>
      <c r="I21" s="29"/>
      <c r="J21" s="10"/>
      <c r="K21" s="29"/>
      <c r="L21" s="10"/>
      <c r="M21" s="29"/>
      <c r="N21" s="10"/>
      <c r="O21" s="39">
        <f>O20+Q20</f>
        <v>662302.9880298452</v>
      </c>
      <c r="P21" s="10"/>
      <c r="Q21" s="29"/>
      <c r="S21" s="48">
        <f>S20+U20</f>
        <v>31145.991960119096</v>
      </c>
      <c r="T21" s="49"/>
      <c r="U21" s="50"/>
    </row>
    <row r="22" spans="1:21" ht="12.75">
      <c r="A22" s="6"/>
      <c r="C22" s="29"/>
      <c r="D22" s="10"/>
      <c r="E22" s="29"/>
      <c r="F22" s="10"/>
      <c r="G22" s="29"/>
      <c r="H22" s="10"/>
      <c r="I22" s="29"/>
      <c r="J22" s="10"/>
      <c r="K22" s="29"/>
      <c r="L22" s="10"/>
      <c r="M22" s="29"/>
      <c r="N22" s="10"/>
      <c r="O22" s="39"/>
      <c r="P22" s="11"/>
      <c r="Q22" s="33"/>
      <c r="S22" s="51"/>
      <c r="T22" s="16"/>
      <c r="U22" s="52"/>
    </row>
    <row r="23" spans="3:21" ht="16.5" customHeight="1">
      <c r="C23" s="19" t="s">
        <v>6</v>
      </c>
      <c r="D23" s="20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53"/>
      <c r="T23" s="54"/>
      <c r="U23" s="55"/>
    </row>
    <row r="24" spans="1:21" ht="12.75">
      <c r="A24" s="6">
        <f>_XLL.ДАТАМЕС(Данные!B7,0)</f>
        <v>41284</v>
      </c>
      <c r="C24" s="40">
        <f>C7+G7</f>
        <v>600000</v>
      </c>
      <c r="D24" s="24">
        <f>A21-A9</f>
        <v>365</v>
      </c>
      <c r="E24" s="9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S24" s="39"/>
      <c r="T24" s="10"/>
      <c r="U24" s="29"/>
    </row>
    <row r="25" spans="1:21" ht="12.75">
      <c r="A25" s="6">
        <f>_XLL.ДАТАМЕС(Данные!B7,12)</f>
        <v>41649</v>
      </c>
      <c r="C25" s="41">
        <f>O21+S21</f>
        <v>693448.9799899643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/>
      <c r="T25" s="10"/>
      <c r="U25" s="10"/>
    </row>
    <row r="26" spans="1:21" ht="12.75">
      <c r="A26" s="18" t="s">
        <v>1</v>
      </c>
      <c r="C26" s="42">
        <f>C25-C24</f>
        <v>93448.97998996428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</row>
    <row r="27" spans="1:21" ht="12.75">
      <c r="A27" s="18" t="s">
        <v>8</v>
      </c>
      <c r="C27" s="45">
        <f>C26/C24</f>
        <v>0.1557482999832738</v>
      </c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</row>
    <row r="28" ht="12.75">
      <c r="A28" s="6"/>
    </row>
    <row r="29" ht="12.75">
      <c r="A29" s="6"/>
    </row>
    <row r="30" ht="12.75">
      <c r="A30" s="2"/>
    </row>
    <row r="31" ht="12.75">
      <c r="A31" s="2"/>
    </row>
    <row r="32" ht="12.75">
      <c r="A32" s="2"/>
    </row>
    <row r="33" spans="1:21" ht="12.75">
      <c r="A33" s="7"/>
      <c r="S33"/>
      <c r="T33"/>
      <c r="U33"/>
    </row>
  </sheetData>
  <sheetProtection/>
  <mergeCells count="1">
    <mergeCell ref="S6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140625" style="0" customWidth="1"/>
    <col min="2" max="2" width="4.7109375" style="0" customWidth="1"/>
    <col min="3" max="3" width="12.57421875" style="4" customWidth="1"/>
    <col min="4" max="4" width="4.00390625" style="4" bestFit="1" customWidth="1"/>
    <col min="5" max="5" width="9.8515625" style="4" customWidth="1"/>
    <col min="6" max="6" width="4.7109375" style="4" customWidth="1"/>
    <col min="7" max="7" width="12.57421875" style="4" customWidth="1"/>
    <col min="8" max="8" width="4.00390625" style="4" customWidth="1"/>
    <col min="9" max="9" width="9.8515625" style="4" customWidth="1"/>
    <col min="10" max="10" width="4.7109375" style="4" customWidth="1"/>
    <col min="11" max="11" width="12.57421875" style="4" customWidth="1"/>
    <col min="12" max="12" width="4.00390625" style="4" customWidth="1"/>
    <col min="13" max="13" width="9.8515625" style="4" customWidth="1"/>
    <col min="14" max="14" width="4.7109375" style="4" customWidth="1"/>
    <col min="15" max="15" width="12.57421875" style="4" customWidth="1"/>
    <col min="16" max="16" width="4.00390625" style="4" customWidth="1"/>
    <col min="17" max="17" width="9.8515625" style="4" customWidth="1"/>
    <col min="18" max="18" width="5.140625" style="0" customWidth="1"/>
    <col min="19" max="19" width="12.57421875" style="4" customWidth="1"/>
    <col min="20" max="20" width="4.00390625" style="4" customWidth="1"/>
    <col min="21" max="21" width="9.8515625" style="4" customWidth="1"/>
  </cols>
  <sheetData>
    <row r="1" spans="1:19" ht="18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S1" s="8"/>
    </row>
    <row r="2" spans="1:19" ht="18">
      <c r="A2" s="25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S2" s="8"/>
    </row>
    <row r="3" spans="1:19" ht="18">
      <c r="A3" s="25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</row>
    <row r="4" spans="1:19" ht="18">
      <c r="A4" s="2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S4" s="8"/>
    </row>
    <row r="5" spans="1:19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S5" s="8"/>
    </row>
    <row r="6" spans="1:21" ht="29.25" customHeight="1">
      <c r="A6" s="8"/>
      <c r="B6" s="8"/>
      <c r="C6" s="73" t="s">
        <v>12</v>
      </c>
      <c r="D6" s="73"/>
      <c r="E6" s="73"/>
      <c r="F6" s="8"/>
      <c r="G6" s="19" t="s">
        <v>9</v>
      </c>
      <c r="H6" s="20"/>
      <c r="I6" s="21"/>
      <c r="J6" s="21"/>
      <c r="K6" s="19" t="s">
        <v>9</v>
      </c>
      <c r="L6" s="20"/>
      <c r="M6" s="21"/>
      <c r="N6" s="21"/>
      <c r="O6" s="19" t="s">
        <v>9</v>
      </c>
      <c r="P6" s="20"/>
      <c r="Q6" s="21"/>
      <c r="S6" s="73" t="s">
        <v>34</v>
      </c>
      <c r="T6" s="73"/>
      <c r="U6" s="73"/>
    </row>
    <row r="7" spans="1:21" ht="12.75">
      <c r="A7" s="1"/>
      <c r="C7" s="28">
        <f>Данные!B5-G7</f>
        <v>570000</v>
      </c>
      <c r="D7" s="10"/>
      <c r="E7" s="13">
        <f>Данные!B11</f>
        <v>0.09</v>
      </c>
      <c r="F7" s="10"/>
      <c r="G7" s="35">
        <f>Данные!$B$14</f>
        <v>30000</v>
      </c>
      <c r="H7" s="10"/>
      <c r="I7" s="13">
        <f>Данные!B11</f>
        <v>0.09</v>
      </c>
      <c r="J7" s="10"/>
      <c r="K7" s="35">
        <f>Данные!$B$14</f>
        <v>30000</v>
      </c>
      <c r="L7" s="10"/>
      <c r="M7" s="13">
        <f>Данные!B11</f>
        <v>0.09</v>
      </c>
      <c r="N7" s="10"/>
      <c r="O7" s="35">
        <f>Данные!$B$14</f>
        <v>30000</v>
      </c>
      <c r="P7" s="10"/>
      <c r="Q7" s="13">
        <f>Данные!B11</f>
        <v>0.09</v>
      </c>
      <c r="S7" s="35">
        <f>Данные!$B$14</f>
        <v>30000</v>
      </c>
      <c r="T7" s="10"/>
      <c r="U7" s="13">
        <f>Данные!B11</f>
        <v>0.09</v>
      </c>
    </row>
    <row r="8" spans="3:21" ht="12.75">
      <c r="C8" s="29"/>
      <c r="D8" s="10"/>
      <c r="E8" s="29"/>
      <c r="F8" s="10"/>
      <c r="G8" s="29"/>
      <c r="H8" s="10"/>
      <c r="I8" s="29"/>
      <c r="J8" s="10"/>
      <c r="K8" s="29"/>
      <c r="L8" s="10"/>
      <c r="M8" s="29"/>
      <c r="N8" s="10"/>
      <c r="O8" s="29"/>
      <c r="P8" s="10"/>
      <c r="Q8" s="29"/>
      <c r="S8" s="29"/>
      <c r="T8" s="10"/>
      <c r="U8" s="10"/>
    </row>
    <row r="9" spans="1:21" ht="12.75">
      <c r="A9" s="7">
        <f>_XLL.ДАТАМЕС(Данные!B7,12)</f>
        <v>41649</v>
      </c>
      <c r="C9" s="30">
        <f>(C7-S21)*1.015+S21</f>
        <v>578082.8101205982</v>
      </c>
      <c r="D9" s="22">
        <f>A10-A9</f>
        <v>31</v>
      </c>
      <c r="E9" s="36">
        <f>C9*E$7/(DAY(DATE(YEAR($A9),3,0))+337)*(DAY(DATE(YEAR($A9),MONTH($A9)+1,0)-$A9))+C9*(E$7/(DAY(DATE(YEAR($A10),3,0))+337)*DAY($A10))</f>
        <v>4418.7699732506</v>
      </c>
      <c r="F9" s="10"/>
      <c r="G9" s="30">
        <f>G7*1.015</f>
        <v>30449.999999999996</v>
      </c>
      <c r="H9" s="22">
        <f>A10-A9</f>
        <v>31</v>
      </c>
      <c r="I9" s="36">
        <f aca="true" t="shared" si="0" ref="I9:I14">G9*I$7/(DAY(DATE(YEAR($A9),3,0))+337)*(DAY(DATE(YEAR($A9),MONTH($A9)+1,0)-$A9))+G9*(I$7/(DAY(DATE(YEAR($A10),3,0))+337)*DAY($A10))</f>
        <v>232.75479452054788</v>
      </c>
      <c r="J9" s="10"/>
      <c r="K9" s="29"/>
      <c r="L9" s="10"/>
      <c r="M9" s="29"/>
      <c r="N9" s="10"/>
      <c r="O9" s="29"/>
      <c r="P9" s="10"/>
      <c r="Q9" s="29"/>
      <c r="S9"/>
      <c r="T9"/>
      <c r="U9"/>
    </row>
    <row r="10" spans="1:21" ht="12.75">
      <c r="A10" s="6">
        <f>_XLL.ДАТАМЕС(Данные!B7,13)</f>
        <v>41680</v>
      </c>
      <c r="C10" s="31">
        <f>C9+E9</f>
        <v>582501.5800938488</v>
      </c>
      <c r="D10" s="14">
        <f>A11-A10</f>
        <v>28</v>
      </c>
      <c r="E10" s="37">
        <f>C10*E$7/(DAY(DATE(YEAR($A10),3,0))+337)*(DAY(DATE(YEAR($A10),MONTH($A10)+1,0)-$A10))+C10*(E$7/(DAY(DATE(YEAR($A11),3,0))+337)*DAY($A11))</f>
        <v>4021.6547447575313</v>
      </c>
      <c r="F10" s="10"/>
      <c r="G10" s="31">
        <f>G9+I9</f>
        <v>30682.754794520544</v>
      </c>
      <c r="H10" s="14">
        <f>A11-A10</f>
        <v>28</v>
      </c>
      <c r="I10" s="37">
        <f t="shared" si="0"/>
        <v>211.8371015950459</v>
      </c>
      <c r="J10" s="10"/>
      <c r="K10" s="29"/>
      <c r="L10" s="10"/>
      <c r="M10" s="29"/>
      <c r="N10" s="10"/>
      <c r="O10" s="29"/>
      <c r="P10" s="10"/>
      <c r="Q10" s="29"/>
      <c r="S10"/>
      <c r="T10"/>
      <c r="U10"/>
    </row>
    <row r="11" spans="1:21" ht="12.75">
      <c r="A11" s="6">
        <f>_XLL.ДАТАМЕС(Данные!B7,14)</f>
        <v>41708</v>
      </c>
      <c r="C11" s="32">
        <f>C10+E10</f>
        <v>586523.2348386063</v>
      </c>
      <c r="D11" s="23">
        <f>A12-A11</f>
        <v>31</v>
      </c>
      <c r="E11" s="38">
        <f>C11*E$7/(DAY(DATE(YEAR($A11),3,0))+337)*(DAY(DATE(YEAR($A11),MONTH($A11)+1,0)-$A11))+C11*(E$7/(DAY(DATE(YEAR($A12),3,0))+337)*DAY($A12))</f>
        <v>4483.287192327977</v>
      </c>
      <c r="F11" s="10"/>
      <c r="G11" s="31">
        <f>G10+I10</f>
        <v>30894.59189611559</v>
      </c>
      <c r="H11" s="14">
        <f>A12-A11</f>
        <v>31</v>
      </c>
      <c r="I11" s="37">
        <f t="shared" si="0"/>
        <v>236.15318189085616</v>
      </c>
      <c r="J11" s="10"/>
      <c r="K11" s="29"/>
      <c r="L11" s="10"/>
      <c r="M11" s="29"/>
      <c r="N11" s="10"/>
      <c r="O11" s="29"/>
      <c r="P11" s="10"/>
      <c r="Q11" s="29"/>
      <c r="S11"/>
      <c r="T11"/>
      <c r="U11"/>
    </row>
    <row r="12" spans="1:21" ht="12.75">
      <c r="A12" s="6">
        <f>_XLL.ДАТАМЕС(Данные!B7,15)</f>
        <v>41739</v>
      </c>
      <c r="C12" s="33">
        <f>C11+E11</f>
        <v>591006.5220309343</v>
      </c>
      <c r="D12" s="11"/>
      <c r="E12" s="33"/>
      <c r="F12" s="10"/>
      <c r="G12" s="43">
        <f>G11+I11+(C12-K7)*1.015</f>
        <v>600552.3649394048</v>
      </c>
      <c r="H12" s="14">
        <f>$A13-$A12</f>
        <v>30</v>
      </c>
      <c r="I12" s="37">
        <f t="shared" si="0"/>
        <v>4442.442151606556</v>
      </c>
      <c r="J12" s="10"/>
      <c r="K12" s="30">
        <f>K7*1.015</f>
        <v>30449.999999999996</v>
      </c>
      <c r="L12" s="22">
        <f aca="true" t="shared" si="1" ref="L12:L17">A13-A12</f>
        <v>30</v>
      </c>
      <c r="M12" s="36">
        <f aca="true" t="shared" si="2" ref="M12:M17">K12*M$7/(DAY(DATE(YEAR($A12),3,0))+337)*(DAY(DATE(YEAR($A12),MONTH($A12)+1,0)-$A12))+K12*(M$7/(DAY(DATE(YEAR($A13),3,0))+337)*DAY($A13))</f>
        <v>225.2465753424657</v>
      </c>
      <c r="N12" s="10"/>
      <c r="O12" s="29"/>
      <c r="P12" s="10"/>
      <c r="Q12" s="29"/>
      <c r="S12"/>
      <c r="T12"/>
      <c r="U12"/>
    </row>
    <row r="13" spans="1:21" ht="12.75">
      <c r="A13" s="6">
        <f>_XLL.ДАТАМЕС(Данные!B7,16)</f>
        <v>41769</v>
      </c>
      <c r="C13" s="29"/>
      <c r="D13" s="10"/>
      <c r="E13" s="29"/>
      <c r="F13" s="10"/>
      <c r="G13" s="31">
        <f>G12+I12</f>
        <v>604994.8070910113</v>
      </c>
      <c r="H13" s="14">
        <f>A14-A13</f>
        <v>31</v>
      </c>
      <c r="I13" s="37">
        <f t="shared" si="0"/>
        <v>4624.480854202525</v>
      </c>
      <c r="J13" s="10"/>
      <c r="K13" s="31">
        <f>K12+M12</f>
        <v>30675.246575342462</v>
      </c>
      <c r="L13" s="14">
        <f t="shared" si="1"/>
        <v>31</v>
      </c>
      <c r="M13" s="37">
        <f t="shared" si="2"/>
        <v>234.47654231563143</v>
      </c>
      <c r="N13" s="10"/>
      <c r="O13" s="29"/>
      <c r="P13" s="10"/>
      <c r="Q13" s="29"/>
      <c r="S13"/>
      <c r="T13"/>
      <c r="U13"/>
    </row>
    <row r="14" spans="1:21" ht="12.75">
      <c r="A14" s="6">
        <f>_XLL.ДАТАМЕС(Данные!B7,17)</f>
        <v>41800</v>
      </c>
      <c r="C14" s="34"/>
      <c r="D14" s="10"/>
      <c r="E14" s="29"/>
      <c r="F14" s="10"/>
      <c r="G14" s="32">
        <f>G13+I13</f>
        <v>609619.2879452138</v>
      </c>
      <c r="H14" s="23">
        <f>A15-A14</f>
        <v>30</v>
      </c>
      <c r="I14" s="38">
        <f t="shared" si="0"/>
        <v>4509.512540964595</v>
      </c>
      <c r="J14" s="10"/>
      <c r="K14" s="31">
        <f>K13+M13</f>
        <v>30909.723117658094</v>
      </c>
      <c r="L14" s="14">
        <f t="shared" si="1"/>
        <v>30</v>
      </c>
      <c r="M14" s="37">
        <f t="shared" si="2"/>
        <v>228.64726689774477</v>
      </c>
      <c r="N14" s="10"/>
      <c r="O14" s="29"/>
      <c r="P14" s="10"/>
      <c r="Q14" s="29"/>
      <c r="S14"/>
      <c r="T14"/>
      <c r="U14"/>
    </row>
    <row r="15" spans="1:21" ht="12.75">
      <c r="A15" s="6">
        <f>_XLL.ДАТАМЕС(Данные!B7,18)</f>
        <v>41830</v>
      </c>
      <c r="C15" s="29"/>
      <c r="D15" s="10"/>
      <c r="E15" s="29"/>
      <c r="F15" s="10"/>
      <c r="G15" s="33">
        <f>G14+I14</f>
        <v>614128.8004861785</v>
      </c>
      <c r="H15" s="11"/>
      <c r="I15" s="33"/>
      <c r="J15" s="10"/>
      <c r="K15" s="43">
        <f>K14+M14+(G15-O7)*1.015</f>
        <v>624029.102878027</v>
      </c>
      <c r="L15" s="14">
        <f t="shared" si="1"/>
        <v>31</v>
      </c>
      <c r="M15" s="37">
        <f t="shared" si="2"/>
        <v>4769.975882273138</v>
      </c>
      <c r="N15" s="10"/>
      <c r="O15" s="30">
        <f>O7*1.015</f>
        <v>30449.999999999996</v>
      </c>
      <c r="P15" s="22">
        <f aca="true" t="shared" si="3" ref="P15:P20">A16-A15</f>
        <v>31</v>
      </c>
      <c r="Q15" s="36">
        <f aca="true" t="shared" si="4" ref="Q15:Q20">O15*Q$7/(DAY(DATE(YEAR($A15),3,0))+337)*(DAY(DATE(YEAR($A15),MONTH($A15)+1,0)-$A15))+O15*(Q$7/(DAY(DATE(YEAR($A16),3,0))+337)*DAY($A16))</f>
        <v>232.75479452054788</v>
      </c>
      <c r="S15"/>
      <c r="T15"/>
      <c r="U15"/>
    </row>
    <row r="16" spans="1:21" ht="12.75">
      <c r="A16" s="6">
        <f>_XLL.ДАТАМЕС(Данные!B7,19)</f>
        <v>41861</v>
      </c>
      <c r="C16" s="29"/>
      <c r="D16" s="10"/>
      <c r="E16" s="29"/>
      <c r="F16" s="10"/>
      <c r="G16" s="29"/>
      <c r="H16" s="10"/>
      <c r="I16" s="29"/>
      <c r="J16" s="10"/>
      <c r="K16" s="31">
        <f>K15+M15</f>
        <v>628799.0787603002</v>
      </c>
      <c r="L16" s="14">
        <f t="shared" si="1"/>
        <v>31</v>
      </c>
      <c r="M16" s="37">
        <f t="shared" si="2"/>
        <v>4806.436793811609</v>
      </c>
      <c r="N16" s="10"/>
      <c r="O16" s="31">
        <f>O15+Q15</f>
        <v>30682.754794520544</v>
      </c>
      <c r="P16" s="14">
        <f t="shared" si="3"/>
        <v>31</v>
      </c>
      <c r="Q16" s="37">
        <f t="shared" si="4"/>
        <v>234.53393390880086</v>
      </c>
      <c r="S16"/>
      <c r="T16"/>
      <c r="U16"/>
    </row>
    <row r="17" spans="1:21" ht="12.75">
      <c r="A17" s="6">
        <f>_XLL.ДАТАМЕС(Данные!B7,20)</f>
        <v>41892</v>
      </c>
      <c r="C17" s="29"/>
      <c r="D17" s="10"/>
      <c r="E17" s="29"/>
      <c r="F17" s="10"/>
      <c r="G17" s="29"/>
      <c r="H17" s="10"/>
      <c r="I17" s="29"/>
      <c r="J17" s="10"/>
      <c r="K17" s="32">
        <f>K16+M16</f>
        <v>633605.5155541118</v>
      </c>
      <c r="L17" s="23">
        <f t="shared" si="1"/>
        <v>30</v>
      </c>
      <c r="M17" s="38">
        <f t="shared" si="2"/>
        <v>4686.944909578361</v>
      </c>
      <c r="N17" s="10"/>
      <c r="O17" s="31">
        <f>O16+Q16</f>
        <v>30917.288728429347</v>
      </c>
      <c r="P17" s="14">
        <f t="shared" si="3"/>
        <v>30</v>
      </c>
      <c r="Q17" s="37">
        <f t="shared" si="4"/>
        <v>228.7032316897513</v>
      </c>
      <c r="S17"/>
      <c r="T17"/>
      <c r="U17"/>
    </row>
    <row r="18" spans="1:21" ht="12.75">
      <c r="A18" s="6">
        <f>_XLL.ДАТАМЕС(Данные!B7,21)</f>
        <v>41922</v>
      </c>
      <c r="C18" s="29"/>
      <c r="D18" s="10"/>
      <c r="E18" s="29"/>
      <c r="F18" s="10"/>
      <c r="G18" s="29"/>
      <c r="H18" s="10"/>
      <c r="I18" s="29"/>
      <c r="J18" s="10"/>
      <c r="K18" s="33">
        <f>K17+M17</f>
        <v>638292.4604636901</v>
      </c>
      <c r="L18" s="10"/>
      <c r="M18" s="29"/>
      <c r="N18" s="10"/>
      <c r="O18" s="43">
        <f>O17+Q17+(K18-S7)*1.015</f>
        <v>648562.8393307645</v>
      </c>
      <c r="P18" s="14">
        <f t="shared" si="3"/>
        <v>31</v>
      </c>
      <c r="Q18" s="37">
        <f t="shared" si="4"/>
        <v>4957.507730774884</v>
      </c>
      <c r="S18" s="30">
        <f>S$7*1.015</f>
        <v>30449.999999999996</v>
      </c>
      <c r="T18" s="22">
        <f>$A19-$A18</f>
        <v>31</v>
      </c>
      <c r="U18" s="36">
        <f>S18*U$7/(DAY(DATE(YEAR($A18),3,0))+337)*(DAY(DATE(YEAR($A18),MONTH($A18)+1,0)-$A18))+S18*(U$7/(DAY(DATE(YEAR($A19),3,0))+337)*DAY($A19))</f>
        <v>232.75479452054788</v>
      </c>
    </row>
    <row r="19" spans="1:21" ht="12.75">
      <c r="A19" s="6">
        <f>_XLL.ДАТАМЕС(Данные!B7,22)</f>
        <v>41953</v>
      </c>
      <c r="C19" s="29"/>
      <c r="D19" s="10"/>
      <c r="E19" s="29"/>
      <c r="F19" s="10"/>
      <c r="G19" s="29"/>
      <c r="H19" s="10"/>
      <c r="I19" s="29"/>
      <c r="J19" s="10"/>
      <c r="K19" s="29"/>
      <c r="L19" s="10"/>
      <c r="M19" s="29"/>
      <c r="N19" s="10"/>
      <c r="O19" s="31">
        <f>O18+Q18</f>
        <v>653520.3470615394</v>
      </c>
      <c r="P19" s="14">
        <f t="shared" si="3"/>
        <v>30</v>
      </c>
      <c r="Q19" s="37">
        <f t="shared" si="4"/>
        <v>4834.260101551114</v>
      </c>
      <c r="S19" s="31">
        <f>S18+U18</f>
        <v>30682.754794520544</v>
      </c>
      <c r="T19" s="14">
        <f>$A20-$A19</f>
        <v>30</v>
      </c>
      <c r="U19" s="37">
        <f>S19*U$7/(DAY(DATE(YEAR($A19),3,0))+337)*(DAY(DATE(YEAR($A19),MONTH($A19)+1,0)-$A19))+S19*(U$7/(DAY(DATE(YEAR($A20),3,0))+337)*DAY($A20))</f>
        <v>226.9683231375492</v>
      </c>
    </row>
    <row r="20" spans="1:21" ht="12.75">
      <c r="A20" s="6">
        <f>_XLL.ДАТАМЕС(Данные!B7,23)</f>
        <v>41983</v>
      </c>
      <c r="C20" s="29"/>
      <c r="D20" s="10"/>
      <c r="E20" s="29"/>
      <c r="F20" s="10"/>
      <c r="G20" s="29"/>
      <c r="H20" s="10"/>
      <c r="I20" s="29"/>
      <c r="J20" s="10"/>
      <c r="K20" s="29"/>
      <c r="L20" s="10"/>
      <c r="M20" s="29"/>
      <c r="N20" s="10"/>
      <c r="O20" s="32">
        <f>O19+Q19</f>
        <v>658354.6071630905</v>
      </c>
      <c r="P20" s="23">
        <f t="shared" si="3"/>
        <v>31</v>
      </c>
      <c r="Q20" s="38">
        <f t="shared" si="4"/>
        <v>5032.354394479514</v>
      </c>
      <c r="S20" s="31">
        <f>S19+U19</f>
        <v>30909.723117658094</v>
      </c>
      <c r="T20" s="14">
        <f>$A21-$A20</f>
        <v>31</v>
      </c>
      <c r="U20" s="37">
        <f>S20*U$7/(DAY(DATE(YEAR($A20),3,0))+337)*(DAY(DATE(YEAR($A20),MONTH($A20)+1,0)-$A20))+S20*(U$7/(DAY(DATE(YEAR($A21),3,0))+337)*DAY($A21))</f>
        <v>236.26884246100298</v>
      </c>
    </row>
    <row r="21" spans="1:21" ht="12.75">
      <c r="A21" s="6">
        <f>_XLL.ДАТАМЕС(Данные!B7,24)</f>
        <v>42014</v>
      </c>
      <c r="C21" s="29"/>
      <c r="D21" s="10"/>
      <c r="E21" s="29"/>
      <c r="F21" s="10"/>
      <c r="G21" s="29"/>
      <c r="H21" s="10"/>
      <c r="I21" s="29"/>
      <c r="J21" s="10"/>
      <c r="K21" s="29"/>
      <c r="L21" s="10"/>
      <c r="M21" s="29"/>
      <c r="N21" s="10"/>
      <c r="O21" s="39">
        <f>O20+Q20</f>
        <v>663386.96155757</v>
      </c>
      <c r="P21" s="10"/>
      <c r="Q21" s="29"/>
      <c r="S21" s="48">
        <f>S20+U20</f>
        <v>31145.991960119096</v>
      </c>
      <c r="T21" s="49"/>
      <c r="U21" s="50"/>
    </row>
    <row r="22" spans="1:21" ht="12.75">
      <c r="A22" s="6"/>
      <c r="C22" s="10"/>
      <c r="D22" s="10"/>
      <c r="E22" s="29"/>
      <c r="F22" s="10"/>
      <c r="G22" s="29"/>
      <c r="H22" s="10"/>
      <c r="I22" s="29"/>
      <c r="J22" s="10"/>
      <c r="K22" s="29"/>
      <c r="L22" s="10"/>
      <c r="M22" s="29"/>
      <c r="N22" s="10"/>
      <c r="O22" s="39"/>
      <c r="P22" s="11"/>
      <c r="Q22" s="33"/>
      <c r="S22" s="51"/>
      <c r="T22" s="16"/>
      <c r="U22" s="52"/>
    </row>
    <row r="23" spans="3:21" ht="16.5" customHeight="1">
      <c r="C23" s="19" t="s">
        <v>6</v>
      </c>
      <c r="D23" s="20"/>
      <c r="E23" s="5"/>
      <c r="F23" s="5"/>
      <c r="G23" s="5"/>
      <c r="H23" s="10"/>
      <c r="I23" s="29"/>
      <c r="J23" s="10"/>
      <c r="K23" s="29"/>
      <c r="L23" s="10"/>
      <c r="M23" s="29"/>
      <c r="N23" s="10"/>
      <c r="O23" s="29"/>
      <c r="P23" s="10"/>
      <c r="Q23" s="29"/>
      <c r="S23" s="53"/>
      <c r="T23" s="54"/>
      <c r="U23" s="55"/>
    </row>
    <row r="24" spans="1:21" ht="12.75">
      <c r="A24" s="6">
        <f>_XLL.ДАТАМЕС(Данные!B7,0)</f>
        <v>41284</v>
      </c>
      <c r="C24" s="40">
        <f>C7+G7</f>
        <v>600000</v>
      </c>
      <c r="D24" s="24">
        <f>A21-A9</f>
        <v>365</v>
      </c>
      <c r="E24" s="9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S24" s="39"/>
      <c r="T24" s="10"/>
      <c r="U24" s="29"/>
    </row>
    <row r="25" spans="1:21" ht="12.75">
      <c r="A25" s="6">
        <f>_XLL.ДАТАМЕС(Данные!B7,12)</f>
        <v>41649</v>
      </c>
      <c r="C25" s="41">
        <f>O21+S21</f>
        <v>694532.9535176891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/>
      <c r="T25" s="10"/>
      <c r="U25" s="10"/>
    </row>
    <row r="26" spans="1:21" ht="12.75">
      <c r="A26" s="18" t="s">
        <v>1</v>
      </c>
      <c r="C26" s="42">
        <f>C25-C24</f>
        <v>94532.95351768914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</row>
    <row r="27" spans="1:21" ht="12.75">
      <c r="A27" s="18" t="s">
        <v>8</v>
      </c>
      <c r="C27" s="45">
        <f>C26/C24</f>
        <v>0.1575549225294819</v>
      </c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</row>
    <row r="28" ht="12.75">
      <c r="A28" s="6"/>
    </row>
    <row r="29" ht="12.75">
      <c r="A29" s="6"/>
    </row>
    <row r="30" ht="12.75">
      <c r="A30" s="2"/>
    </row>
    <row r="31" ht="12.75">
      <c r="A31" s="2"/>
    </row>
    <row r="32" ht="12.75">
      <c r="A32" s="2"/>
    </row>
    <row r="33" spans="1:21" ht="12.75">
      <c r="A33" s="7"/>
      <c r="S33"/>
      <c r="T33"/>
      <c r="U33"/>
    </row>
  </sheetData>
  <sheetProtection/>
  <mergeCells count="2">
    <mergeCell ref="C6:E6"/>
    <mergeCell ref="S6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140625" style="0" bestFit="1" customWidth="1"/>
    <col min="2" max="2" width="4.7109375" style="0" customWidth="1"/>
    <col min="3" max="3" width="12.57421875" style="4" customWidth="1"/>
    <col min="4" max="4" width="4.00390625" style="4" bestFit="1" customWidth="1"/>
    <col min="5" max="5" width="9.8515625" style="4" customWidth="1"/>
    <col min="6" max="6" width="4.7109375" style="4" customWidth="1"/>
    <col min="7" max="7" width="12.57421875" style="4" customWidth="1"/>
    <col min="8" max="8" width="4.00390625" style="4" customWidth="1"/>
    <col min="9" max="9" width="9.8515625" style="4" customWidth="1"/>
    <col min="10" max="10" width="4.7109375" style="4" customWidth="1"/>
    <col min="11" max="11" width="12.57421875" style="4" customWidth="1"/>
    <col min="12" max="12" width="4.00390625" style="4" customWidth="1"/>
    <col min="13" max="13" width="9.8515625" style="4" customWidth="1"/>
    <col min="14" max="14" width="4.7109375" style="4" customWidth="1"/>
    <col min="15" max="15" width="12.57421875" style="4" customWidth="1"/>
    <col min="16" max="16" width="4.00390625" style="4" customWidth="1"/>
    <col min="17" max="17" width="9.8515625" style="4" customWidth="1"/>
    <col min="18" max="18" width="5.140625" style="0" customWidth="1"/>
    <col min="19" max="19" width="12.57421875" style="4" customWidth="1"/>
    <col min="20" max="20" width="4.00390625" style="4" customWidth="1"/>
    <col min="21" max="21" width="9.8515625" style="4" customWidth="1"/>
    <col min="22" max="22" width="4.7109375" style="0" customWidth="1"/>
    <col min="23" max="23" width="12.57421875" style="4" customWidth="1"/>
    <col min="24" max="24" width="4.00390625" style="4" customWidth="1"/>
    <col min="25" max="25" width="9.8515625" style="4" customWidth="1"/>
    <col min="26" max="26" width="4.7109375" style="0" customWidth="1"/>
    <col min="27" max="27" width="12.57421875" style="4" customWidth="1"/>
    <col min="28" max="28" width="4.00390625" style="4" customWidth="1"/>
    <col min="29" max="29" width="9.8515625" style="4" customWidth="1"/>
  </cols>
  <sheetData>
    <row r="1" spans="1:27" ht="18">
      <c r="A1" s="44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S1" s="8"/>
      <c r="W1" s="8"/>
      <c r="AA1" s="8"/>
    </row>
    <row r="2" spans="1:27" ht="18">
      <c r="A2" s="25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S2" s="8"/>
      <c r="W2" s="8"/>
      <c r="AA2" s="8"/>
    </row>
    <row r="3" spans="1:27" ht="18">
      <c r="A3" s="25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W3" s="8"/>
      <c r="AA3" s="8"/>
    </row>
    <row r="4" spans="1:27" ht="18">
      <c r="A4" s="25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S4" s="8"/>
      <c r="W4" s="8"/>
      <c r="AA4" s="8"/>
    </row>
    <row r="5" spans="1:27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S5" s="8"/>
      <c r="W5" s="8"/>
      <c r="AA5" s="8"/>
    </row>
    <row r="6" spans="1:29" ht="29.25" customHeight="1">
      <c r="A6" s="8"/>
      <c r="B6" s="8"/>
      <c r="C6" s="19" t="s">
        <v>7</v>
      </c>
      <c r="D6" s="20"/>
      <c r="E6" s="21"/>
      <c r="F6" s="8"/>
      <c r="G6" s="19" t="s">
        <v>9</v>
      </c>
      <c r="H6" s="20"/>
      <c r="I6" s="21"/>
      <c r="J6" s="21"/>
      <c r="K6" s="19" t="s">
        <v>9</v>
      </c>
      <c r="L6" s="20"/>
      <c r="M6" s="21"/>
      <c r="N6" s="21"/>
      <c r="O6" s="19" t="s">
        <v>22</v>
      </c>
      <c r="P6" s="20"/>
      <c r="Q6" s="21"/>
      <c r="S6" s="73" t="s">
        <v>33</v>
      </c>
      <c r="T6" s="73"/>
      <c r="U6" s="73"/>
      <c r="W6" s="73" t="s">
        <v>32</v>
      </c>
      <c r="X6" s="73"/>
      <c r="Y6" s="73"/>
      <c r="AA6" s="73" t="s">
        <v>31</v>
      </c>
      <c r="AB6" s="73"/>
      <c r="AC6" s="73"/>
    </row>
    <row r="7" spans="1:29" ht="12.75">
      <c r="A7" s="1"/>
      <c r="C7" s="28">
        <f>Данные!B5-G7-O7</f>
        <v>540000</v>
      </c>
      <c r="D7" s="10"/>
      <c r="E7" s="13">
        <f>Данные!B10</f>
        <v>0.08</v>
      </c>
      <c r="F7" s="10"/>
      <c r="G7" s="35">
        <f>Данные!$B$14</f>
        <v>30000</v>
      </c>
      <c r="H7" s="10"/>
      <c r="I7" s="13">
        <f>Данные!B11</f>
        <v>0.09</v>
      </c>
      <c r="J7" s="10"/>
      <c r="K7" s="35">
        <f>Данные!$B$14</f>
        <v>30000</v>
      </c>
      <c r="L7" s="10"/>
      <c r="M7" s="13">
        <f>Данные!B11</f>
        <v>0.09</v>
      </c>
      <c r="N7" s="10"/>
      <c r="O7" s="35">
        <f>Данные!$B$14</f>
        <v>30000</v>
      </c>
      <c r="P7" s="10"/>
      <c r="Q7" s="13">
        <f>Данные!$B$12</f>
        <v>0.105</v>
      </c>
      <c r="S7" s="35">
        <f>Данные!$B$14</f>
        <v>30000</v>
      </c>
      <c r="T7" s="10"/>
      <c r="U7" s="13">
        <f>Данные!$B$12</f>
        <v>0.105</v>
      </c>
      <c r="W7" s="35">
        <f>Данные!$B$14</f>
        <v>30000</v>
      </c>
      <c r="X7" s="10"/>
      <c r="Y7" s="13">
        <f>Данные!$B$12</f>
        <v>0.105</v>
      </c>
      <c r="AA7" s="35">
        <f>Данные!$B$14</f>
        <v>30000</v>
      </c>
      <c r="AB7" s="10"/>
      <c r="AC7" s="13">
        <f>Данные!$B$12</f>
        <v>0.105</v>
      </c>
    </row>
    <row r="8" spans="3:29" ht="12.75">
      <c r="C8" s="29"/>
      <c r="D8" s="10"/>
      <c r="E8" s="29"/>
      <c r="F8" s="10"/>
      <c r="G8" s="29"/>
      <c r="H8" s="10"/>
      <c r="I8" s="10"/>
      <c r="J8" s="10"/>
      <c r="K8" s="29"/>
      <c r="L8" s="10"/>
      <c r="M8" s="29"/>
      <c r="N8" s="10"/>
      <c r="O8" s="29"/>
      <c r="P8" s="10"/>
      <c r="Q8" s="10"/>
      <c r="S8" s="29"/>
      <c r="T8" s="10"/>
      <c r="U8" s="10"/>
      <c r="W8" s="29"/>
      <c r="X8" s="10"/>
      <c r="Y8" s="10"/>
      <c r="AA8" s="29"/>
      <c r="AB8" s="10"/>
      <c r="AC8" s="10"/>
    </row>
    <row r="9" spans="1:29" ht="12.75">
      <c r="A9" s="7">
        <f>_XLL.ДАТАМЕС(Данные!B7,0)</f>
        <v>41284</v>
      </c>
      <c r="C9" s="30">
        <f>C7*1.015</f>
        <v>548100</v>
      </c>
      <c r="D9" s="22">
        <f>A10-A9</f>
        <v>31</v>
      </c>
      <c r="E9" s="36">
        <f>C9*E$7/(DAY(DATE(YEAR($A9),3,0))+337)*(DAY(DATE(YEAR($A9),MONTH($A9)+1,0)-$A9))+C9*(E$7/(DAY(DATE(YEAR($A10),3,0))+337)*DAY($A10))</f>
        <v>3724.0767123287674</v>
      </c>
      <c r="F9" s="10"/>
      <c r="G9" s="30">
        <f>G7*1.015</f>
        <v>30449.999999999996</v>
      </c>
      <c r="H9" s="22">
        <f>A10-A9</f>
        <v>31</v>
      </c>
      <c r="I9" s="36">
        <f aca="true" t="shared" si="0" ref="I9:I14">G9*I$7/(DAY(DATE(YEAR($A9),3,0))+337)*(DAY(DATE(YEAR($A9),MONTH($A9)+1,0)-$A9))+G9*(I$7/(DAY(DATE(YEAR($A10),3,0))+337)*DAY($A10))</f>
        <v>232.75479452054788</v>
      </c>
      <c r="J9" s="10"/>
      <c r="K9" s="29"/>
      <c r="L9" s="10"/>
      <c r="M9" s="29"/>
      <c r="N9" s="10"/>
      <c r="O9" s="30">
        <f>O7*1.015</f>
        <v>30449.999999999996</v>
      </c>
      <c r="P9" s="22">
        <f aca="true" t="shared" si="1" ref="P9:P20">$A10-$A9</f>
        <v>31</v>
      </c>
      <c r="Q9" s="36">
        <f aca="true" t="shared" si="2" ref="Q9:Q20">O9*Q$7/(DAY(DATE(YEAR($A9),3,0))+337)*(DAY(DATE(YEAR($A9),MONTH($A9)+1,0)-$A9))+O9*(Q$7/(DAY(DATE(YEAR($A10),3,0))+337)*DAY($A10))</f>
        <v>271.54726027397254</v>
      </c>
      <c r="S9"/>
      <c r="T9"/>
      <c r="U9"/>
      <c r="W9"/>
      <c r="X9"/>
      <c r="Y9"/>
      <c r="AA9"/>
      <c r="AB9"/>
      <c r="AC9"/>
    </row>
    <row r="10" spans="1:29" ht="12.75">
      <c r="A10" s="6">
        <f>_XLL.ДАТАМЕС(Данные!B7,1)</f>
        <v>41315</v>
      </c>
      <c r="C10" s="31">
        <f>C9+E9</f>
        <v>551824.0767123288</v>
      </c>
      <c r="D10" s="14">
        <f>A11-A10</f>
        <v>28</v>
      </c>
      <c r="E10" s="37">
        <f>C10*E$7/(DAY(DATE(YEAR($A10),3,0))+337)*(DAY(DATE(YEAR($A10),MONTH($A10)+1,0)-$A10))+C10*(E$7/(DAY(DATE(YEAR($A11),3,0))+337)*DAY($A11))</f>
        <v>3386.5367995496345</v>
      </c>
      <c r="F10" s="10"/>
      <c r="G10" s="31">
        <f>G9+I9</f>
        <v>30682.754794520544</v>
      </c>
      <c r="H10" s="14">
        <f>A11-A10</f>
        <v>28</v>
      </c>
      <c r="I10" s="37">
        <f t="shared" si="0"/>
        <v>211.8371015950459</v>
      </c>
      <c r="J10" s="10"/>
      <c r="K10" s="29"/>
      <c r="L10" s="10"/>
      <c r="M10" s="29"/>
      <c r="N10" s="10"/>
      <c r="O10" s="31">
        <f>O9+Q9</f>
        <v>30721.54726027397</v>
      </c>
      <c r="P10" s="14">
        <f t="shared" si="1"/>
        <v>28</v>
      </c>
      <c r="Q10" s="37">
        <f t="shared" si="2"/>
        <v>247.45575053480948</v>
      </c>
      <c r="S10"/>
      <c r="T10"/>
      <c r="U10"/>
      <c r="W10"/>
      <c r="X10"/>
      <c r="Y10"/>
      <c r="AA10"/>
      <c r="AB10"/>
      <c r="AC10"/>
    </row>
    <row r="11" spans="1:29" ht="12.75">
      <c r="A11" s="6">
        <f>_XLL.ДАТАМЕС(Данные!B7,2)</f>
        <v>41343</v>
      </c>
      <c r="C11" s="32">
        <f>C10+E10</f>
        <v>555210.6135118784</v>
      </c>
      <c r="D11" s="23">
        <f>A12-A11</f>
        <v>31</v>
      </c>
      <c r="E11" s="38">
        <f>C11*E$7/(DAY(DATE(YEAR($A11),3,0))+337)*(DAY(DATE(YEAR($A11),MONTH($A11)+1,0)-$A11))+C11*(E$7/(DAY(DATE(YEAR($A12),3,0))+337)*DAY($A12))</f>
        <v>3772.3899219437217</v>
      </c>
      <c r="F11" s="10"/>
      <c r="G11" s="31">
        <f>G10+I10</f>
        <v>30894.59189611559</v>
      </c>
      <c r="H11" s="14">
        <f>A12-A11</f>
        <v>31</v>
      </c>
      <c r="I11" s="37">
        <f t="shared" si="0"/>
        <v>236.15318189085616</v>
      </c>
      <c r="J11" s="10"/>
      <c r="K11" s="29"/>
      <c r="L11" s="10"/>
      <c r="M11" s="29"/>
      <c r="N11" s="10"/>
      <c r="O11" s="31">
        <f aca="true" t="shared" si="3" ref="O11:O17">O10+Q10</f>
        <v>30969.003010808778</v>
      </c>
      <c r="P11" s="14">
        <f t="shared" si="1"/>
        <v>31</v>
      </c>
      <c r="Q11" s="37">
        <f t="shared" si="2"/>
        <v>276.1756295895413</v>
      </c>
      <c r="S11"/>
      <c r="T11"/>
      <c r="U11"/>
      <c r="W11"/>
      <c r="X11"/>
      <c r="Y11"/>
      <c r="AA11"/>
      <c r="AB11"/>
      <c r="AC11"/>
    </row>
    <row r="12" spans="1:29" ht="12.75">
      <c r="A12" s="6">
        <f>_XLL.ДАТАМЕС(Данные!B7,3)</f>
        <v>41374</v>
      </c>
      <c r="C12" s="33">
        <f>C11+E11</f>
        <v>558983.0034338222</v>
      </c>
      <c r="D12" s="11"/>
      <c r="E12" s="33"/>
      <c r="F12" s="10"/>
      <c r="G12" s="43">
        <f>G11+I11+(C12-K7-S7)*1.015</f>
        <v>537598.4935633359</v>
      </c>
      <c r="H12" s="14">
        <f>$A13-$A12</f>
        <v>30</v>
      </c>
      <c r="I12" s="37">
        <f t="shared" si="0"/>
        <v>3976.75597978358</v>
      </c>
      <c r="J12" s="10"/>
      <c r="K12" s="30">
        <f>K7*1.015</f>
        <v>30449.999999999996</v>
      </c>
      <c r="L12" s="22">
        <f aca="true" t="shared" si="4" ref="L12:L17">A13-A12</f>
        <v>30</v>
      </c>
      <c r="M12" s="36">
        <f aca="true" t="shared" si="5" ref="M12:M17">K12*M$7/(DAY(DATE(YEAR($A12),3,0))+337)*(DAY(DATE(YEAR($A12),MONTH($A12)+1,0)-$A12))+K12*(M$7/(DAY(DATE(YEAR($A13),3,0))+337)*DAY($A13))</f>
        <v>225.2465753424657</v>
      </c>
      <c r="N12" s="10"/>
      <c r="O12" s="31">
        <f t="shared" si="3"/>
        <v>31245.17864039832</v>
      </c>
      <c r="P12" s="14">
        <f t="shared" si="1"/>
        <v>30</v>
      </c>
      <c r="Q12" s="37">
        <f t="shared" si="2"/>
        <v>269.65017182809504</v>
      </c>
      <c r="S12" s="30">
        <f>S$7*1.015</f>
        <v>30449.999999999996</v>
      </c>
      <c r="T12" s="22">
        <f aca="true" t="shared" si="6" ref="T12:T20">$A13-$A12</f>
        <v>30</v>
      </c>
      <c r="U12" s="36">
        <f aca="true" t="shared" si="7" ref="U12:U20">S12*U$7/(DAY(DATE(YEAR($A12),3,0))+337)*(DAY(DATE(YEAR($A12),MONTH($A12)+1,0)-$A12))+S12*(U$7/(DAY(DATE(YEAR($A13),3,0))+337)*DAY($A13))</f>
        <v>262.7876712328767</v>
      </c>
      <c r="W12"/>
      <c r="X12"/>
      <c r="Y12"/>
      <c r="AA12"/>
      <c r="AB12"/>
      <c r="AC12"/>
    </row>
    <row r="13" spans="1:29" ht="12.75">
      <c r="A13" s="6">
        <f>_XLL.ДАТАМЕС(Данные!B7,4)</f>
        <v>41404</v>
      </c>
      <c r="C13" s="29"/>
      <c r="D13" s="10"/>
      <c r="E13" s="29"/>
      <c r="F13" s="10"/>
      <c r="G13" s="31">
        <f>G12+I12</f>
        <v>541575.2495431195</v>
      </c>
      <c r="H13" s="14">
        <f>A14-A13</f>
        <v>31</v>
      </c>
      <c r="I13" s="37">
        <f t="shared" si="0"/>
        <v>4139.712181439187</v>
      </c>
      <c r="J13" s="10"/>
      <c r="K13" s="31">
        <f>K12+M12</f>
        <v>30675.246575342462</v>
      </c>
      <c r="L13" s="14">
        <f t="shared" si="4"/>
        <v>31</v>
      </c>
      <c r="M13" s="37">
        <f t="shared" si="5"/>
        <v>234.47654231563143</v>
      </c>
      <c r="N13" s="10"/>
      <c r="O13" s="31">
        <f t="shared" si="3"/>
        <v>31514.828812226417</v>
      </c>
      <c r="P13" s="14">
        <f t="shared" si="1"/>
        <v>31</v>
      </c>
      <c r="Q13" s="37">
        <f t="shared" si="2"/>
        <v>281.043199407663</v>
      </c>
      <c r="S13" s="31">
        <f>S12+U12</f>
        <v>30712.787671232873</v>
      </c>
      <c r="T13" s="14">
        <f t="shared" si="6"/>
        <v>31</v>
      </c>
      <c r="U13" s="37">
        <f t="shared" si="7"/>
        <v>273.89075032839173</v>
      </c>
      <c r="W13"/>
      <c r="X13"/>
      <c r="Y13"/>
      <c r="AA13"/>
      <c r="AB13"/>
      <c r="AC13"/>
    </row>
    <row r="14" spans="1:29" ht="12.75">
      <c r="A14" s="6">
        <f>_XLL.ДАТАМЕС(Данные!B7,5)</f>
        <v>41435</v>
      </c>
      <c r="C14" s="29"/>
      <c r="D14" s="10"/>
      <c r="E14" s="29"/>
      <c r="F14" s="10"/>
      <c r="G14" s="32">
        <f>G13+I13</f>
        <v>545714.9617245586</v>
      </c>
      <c r="H14" s="23">
        <f>A15-A14</f>
        <v>30</v>
      </c>
      <c r="I14" s="38">
        <f t="shared" si="0"/>
        <v>4036.795607277557</v>
      </c>
      <c r="J14" s="10"/>
      <c r="K14" s="31">
        <f>K13+M13</f>
        <v>30909.723117658094</v>
      </c>
      <c r="L14" s="14">
        <f t="shared" si="4"/>
        <v>30</v>
      </c>
      <c r="M14" s="37">
        <f t="shared" si="5"/>
        <v>228.64726689774477</v>
      </c>
      <c r="N14" s="10"/>
      <c r="O14" s="31">
        <f t="shared" si="3"/>
        <v>31795.87201163408</v>
      </c>
      <c r="P14" s="14">
        <f t="shared" si="1"/>
        <v>30</v>
      </c>
      <c r="Q14" s="37">
        <f t="shared" si="2"/>
        <v>274.4027310593078</v>
      </c>
      <c r="S14" s="31">
        <f aca="true" t="shared" si="8" ref="S14:S20">S13+U13</f>
        <v>30986.678421561264</v>
      </c>
      <c r="T14" s="14">
        <f t="shared" si="6"/>
        <v>30</v>
      </c>
      <c r="U14" s="37">
        <f t="shared" si="7"/>
        <v>267.4192795285424</v>
      </c>
      <c r="W14"/>
      <c r="X14"/>
      <c r="Y14"/>
      <c r="AA14"/>
      <c r="AB14"/>
      <c r="AC14"/>
    </row>
    <row r="15" spans="1:29" ht="12.75">
      <c r="A15" s="6">
        <f>_XLL.ДАТАМЕС(Данные!B7,6)</f>
        <v>41465</v>
      </c>
      <c r="C15" s="29"/>
      <c r="D15" s="10"/>
      <c r="E15" s="29"/>
      <c r="F15" s="10"/>
      <c r="G15" s="33">
        <f>G14+I14</f>
        <v>549751.7573318362</v>
      </c>
      <c r="H15" s="11"/>
      <c r="I15" s="33"/>
      <c r="J15" s="10"/>
      <c r="K15" s="31">
        <f>K14+M14+(G15-W7)*1.015</f>
        <v>558686.4040763695</v>
      </c>
      <c r="L15" s="14">
        <f t="shared" si="4"/>
        <v>31</v>
      </c>
      <c r="M15" s="37">
        <f t="shared" si="5"/>
        <v>4270.507033898824</v>
      </c>
      <c r="N15" s="10"/>
      <c r="O15" s="31">
        <f t="shared" si="3"/>
        <v>32070.27474269339</v>
      </c>
      <c r="P15" s="14">
        <f t="shared" si="1"/>
        <v>31</v>
      </c>
      <c r="Q15" s="37">
        <f t="shared" si="2"/>
        <v>285.9965596916904</v>
      </c>
      <c r="S15" s="31">
        <f t="shared" si="8"/>
        <v>31254.097701089806</v>
      </c>
      <c r="T15" s="14">
        <f t="shared" si="6"/>
        <v>31</v>
      </c>
      <c r="U15" s="37">
        <f t="shared" si="7"/>
        <v>278.71804936177347</v>
      </c>
      <c r="W15" s="30">
        <f>W$7*1.015</f>
        <v>30449.999999999996</v>
      </c>
      <c r="X15" s="22">
        <f aca="true" t="shared" si="9" ref="X15:X20">$A16-$A15</f>
        <v>31</v>
      </c>
      <c r="Y15" s="36">
        <f aca="true" t="shared" si="10" ref="Y15:Y20">W15*Y$7/(DAY(DATE(YEAR($A15),3,0))+337)*(DAY(DATE(YEAR($A15),MONTH($A15)+1,0)-$A15))+W15*(Y$7/(DAY(DATE(YEAR($A16),3,0))+337)*DAY($A16))</f>
        <v>271.54726027397254</v>
      </c>
      <c r="AA15"/>
      <c r="AB15"/>
      <c r="AC15"/>
    </row>
    <row r="16" spans="1:29" ht="12.75">
      <c r="A16" s="6">
        <f>_XLL.ДАТАМЕС(Данные!B7,7)</f>
        <v>41496</v>
      </c>
      <c r="C16" s="29"/>
      <c r="D16" s="10"/>
      <c r="E16" s="29"/>
      <c r="F16" s="10"/>
      <c r="G16" s="29"/>
      <c r="H16" s="10"/>
      <c r="I16" s="29"/>
      <c r="J16" s="10"/>
      <c r="K16" s="31">
        <f>K15+M15</f>
        <v>562956.9111102683</v>
      </c>
      <c r="L16" s="14">
        <f t="shared" si="4"/>
        <v>31</v>
      </c>
      <c r="M16" s="37">
        <f t="shared" si="5"/>
        <v>4303.150087664791</v>
      </c>
      <c r="N16" s="10"/>
      <c r="O16" s="31">
        <f t="shared" si="3"/>
        <v>32356.27130238508</v>
      </c>
      <c r="P16" s="14">
        <f t="shared" si="1"/>
        <v>31</v>
      </c>
      <c r="Q16" s="37">
        <f t="shared" si="2"/>
        <v>288.5470221623656</v>
      </c>
      <c r="S16" s="31">
        <f t="shared" si="8"/>
        <v>31532.81575045158</v>
      </c>
      <c r="T16" s="14">
        <f t="shared" si="6"/>
        <v>31</v>
      </c>
      <c r="U16" s="37">
        <f t="shared" si="7"/>
        <v>281.20360347320513</v>
      </c>
      <c r="W16" s="31">
        <f aca="true" t="shared" si="11" ref="W16:W21">W15+Y15</f>
        <v>30721.54726027397</v>
      </c>
      <c r="X16" s="14">
        <f t="shared" si="9"/>
        <v>31</v>
      </c>
      <c r="Y16" s="37">
        <f t="shared" si="10"/>
        <v>273.9688666635391</v>
      </c>
      <c r="AA16"/>
      <c r="AB16"/>
      <c r="AC16"/>
    </row>
    <row r="17" spans="1:29" ht="12.75">
      <c r="A17" s="6">
        <f>_XLL.ДАТАМЕС(Данные!B7,8)</f>
        <v>41527</v>
      </c>
      <c r="C17" s="29"/>
      <c r="D17" s="10"/>
      <c r="E17" s="29"/>
      <c r="F17" s="10"/>
      <c r="G17" s="29"/>
      <c r="H17" s="10"/>
      <c r="I17" s="29"/>
      <c r="J17" s="10"/>
      <c r="K17" s="32">
        <f>K16+M16</f>
        <v>567260.0611979332</v>
      </c>
      <c r="L17" s="23">
        <f t="shared" si="4"/>
        <v>30</v>
      </c>
      <c r="M17" s="38">
        <f t="shared" si="5"/>
        <v>4196.170315710738</v>
      </c>
      <c r="N17" s="10"/>
      <c r="O17" s="31">
        <f t="shared" si="3"/>
        <v>32644.818324547447</v>
      </c>
      <c r="P17" s="14">
        <f t="shared" si="1"/>
        <v>30</v>
      </c>
      <c r="Q17" s="37">
        <f t="shared" si="2"/>
        <v>281.72925403376564</v>
      </c>
      <c r="S17" s="31">
        <f t="shared" si="8"/>
        <v>31814.019353924785</v>
      </c>
      <c r="T17" s="14">
        <f t="shared" si="6"/>
        <v>30</v>
      </c>
      <c r="U17" s="37">
        <f t="shared" si="7"/>
        <v>274.5593451092139</v>
      </c>
      <c r="W17" s="31">
        <f t="shared" si="11"/>
        <v>30995.516126937506</v>
      </c>
      <c r="X17" s="14">
        <f t="shared" si="9"/>
        <v>30</v>
      </c>
      <c r="Y17" s="37">
        <f t="shared" si="10"/>
        <v>267.4955501365839</v>
      </c>
      <c r="AA17"/>
      <c r="AB17"/>
      <c r="AC17"/>
    </row>
    <row r="18" spans="1:29" ht="12.75">
      <c r="A18" s="6">
        <f>_XLL.ДАТАМЕС(Данные!B7,9)</f>
        <v>41557</v>
      </c>
      <c r="C18" s="29"/>
      <c r="D18" s="10"/>
      <c r="E18" s="29"/>
      <c r="F18" s="10"/>
      <c r="G18" s="29"/>
      <c r="H18" s="10"/>
      <c r="I18" s="29"/>
      <c r="J18" s="10"/>
      <c r="K18" s="33">
        <f>K17+M17</f>
        <v>571456.2315136439</v>
      </c>
      <c r="L18" s="10"/>
      <c r="M18" s="29"/>
      <c r="N18" s="10"/>
      <c r="O18" s="31">
        <f>O17+Q17+(K18-AA7)*1.015</f>
        <v>582504.6225649298</v>
      </c>
      <c r="P18" s="14">
        <f t="shared" si="1"/>
        <v>31</v>
      </c>
      <c r="Q18" s="37">
        <f t="shared" si="2"/>
        <v>5194.664510818757</v>
      </c>
      <c r="S18" s="31">
        <f t="shared" si="8"/>
        <v>32088.578699034</v>
      </c>
      <c r="T18" s="14">
        <f t="shared" si="6"/>
        <v>31</v>
      </c>
      <c r="U18" s="37">
        <f t="shared" si="7"/>
        <v>286.1597908639881</v>
      </c>
      <c r="W18" s="31">
        <f t="shared" si="11"/>
        <v>31263.01167707409</v>
      </c>
      <c r="X18" s="14">
        <f t="shared" si="9"/>
        <v>31</v>
      </c>
      <c r="Y18" s="37">
        <f t="shared" si="10"/>
        <v>278.79754249007163</v>
      </c>
      <c r="AA18" s="30">
        <f>AA$7*1.015</f>
        <v>30449.999999999996</v>
      </c>
      <c r="AB18" s="22">
        <f>$A19-$A18</f>
        <v>31</v>
      </c>
      <c r="AC18" s="36">
        <f>AA18*AC$7/(DAY(DATE(YEAR($A18),3,0))+337)*(DAY(DATE(YEAR($A18),MONTH($A18)+1,0)-$A18))+AA18*(AC$7/(DAY(DATE(YEAR($A19),3,0))+337)*DAY($A19))</f>
        <v>271.54726027397254</v>
      </c>
    </row>
    <row r="19" spans="1:29" ht="12.75">
      <c r="A19" s="6">
        <f>_XLL.ДАТАМЕС(Данные!B7,10)</f>
        <v>41588</v>
      </c>
      <c r="C19" s="29"/>
      <c r="D19" s="10"/>
      <c r="E19" s="29"/>
      <c r="F19" s="10"/>
      <c r="G19" s="29"/>
      <c r="H19" s="10"/>
      <c r="I19" s="29"/>
      <c r="J19" s="10"/>
      <c r="K19" s="29"/>
      <c r="L19" s="5"/>
      <c r="M19" s="29"/>
      <c r="N19" s="10"/>
      <c r="O19" s="31">
        <f>O18+Q18</f>
        <v>587699.2870757486</v>
      </c>
      <c r="P19" s="14">
        <f t="shared" si="1"/>
        <v>30</v>
      </c>
      <c r="Q19" s="37">
        <f t="shared" si="2"/>
        <v>5071.925354215364</v>
      </c>
      <c r="S19" s="31">
        <f t="shared" si="8"/>
        <v>32374.738489897987</v>
      </c>
      <c r="T19" s="14">
        <f t="shared" si="6"/>
        <v>30</v>
      </c>
      <c r="U19" s="37">
        <f t="shared" si="7"/>
        <v>279.39842806350316</v>
      </c>
      <c r="W19" s="31">
        <f t="shared" si="11"/>
        <v>31541.809219564162</v>
      </c>
      <c r="X19" s="14">
        <f t="shared" si="9"/>
        <v>30</v>
      </c>
      <c r="Y19" s="37">
        <f t="shared" si="10"/>
        <v>272.2101343606222</v>
      </c>
      <c r="AA19" s="31">
        <f>AA18+AC18</f>
        <v>30721.54726027397</v>
      </c>
      <c r="AB19" s="14">
        <f>$A20-$A19</f>
        <v>30</v>
      </c>
      <c r="AC19" s="37">
        <f>AA19*AC$7/(DAY(DATE(YEAR($A19),3,0))+337)*(DAY(DATE(YEAR($A19),MONTH($A19)+1,0)-$A19))+AA19*(AC$7/(DAY(DATE(YEAR($A20),3,0))+337)*DAY($A20))</f>
        <v>265.13116128729587</v>
      </c>
    </row>
    <row r="20" spans="1:29" ht="12.75">
      <c r="A20" s="6">
        <f>_XLL.ДАТАМЕС(Данные!B7,11)</f>
        <v>41618</v>
      </c>
      <c r="C20" s="29"/>
      <c r="D20" s="10"/>
      <c r="E20" s="29"/>
      <c r="F20" s="10"/>
      <c r="G20" s="29"/>
      <c r="H20" s="10"/>
      <c r="I20" s="29"/>
      <c r="J20" s="10"/>
      <c r="K20" s="29"/>
      <c r="L20" s="10"/>
      <c r="M20" s="29"/>
      <c r="N20" s="10"/>
      <c r="O20" s="32">
        <f>O19+Q19</f>
        <v>592771.2124299639</v>
      </c>
      <c r="P20" s="23">
        <f t="shared" si="1"/>
        <v>31</v>
      </c>
      <c r="Q20" s="38">
        <f t="shared" si="2"/>
        <v>5286.219990300088</v>
      </c>
      <c r="S20" s="32">
        <f t="shared" si="8"/>
        <v>32654.136917961492</v>
      </c>
      <c r="T20" s="23">
        <f t="shared" si="6"/>
        <v>31</v>
      </c>
      <c r="U20" s="38">
        <f t="shared" si="7"/>
        <v>291.2033305971634</v>
      </c>
      <c r="W20" s="32">
        <f t="shared" si="11"/>
        <v>31814.019353924785</v>
      </c>
      <c r="X20" s="23">
        <f t="shared" si="9"/>
        <v>31</v>
      </c>
      <c r="Y20" s="38">
        <f t="shared" si="10"/>
        <v>283.711323279521</v>
      </c>
      <c r="AA20" s="32">
        <f>AA19+AC19</f>
        <v>30986.678421561264</v>
      </c>
      <c r="AB20" s="23">
        <f>$A21-$A20</f>
        <v>31</v>
      </c>
      <c r="AC20" s="38">
        <f>AA20*AC$7/(DAY(DATE(YEAR($A20),3,0))+337)*(DAY(DATE(YEAR($A20),MONTH($A20)+1,0)-$A20))+AA20*(AC$7/(DAY(DATE(YEAR($A21),3,0))+337)*DAY($A21))</f>
        <v>276.3332555128271</v>
      </c>
    </row>
    <row r="21" spans="1:29" ht="12.75">
      <c r="A21" s="6">
        <f>_XLL.ДАТАМЕС(Данные!B7,12)</f>
        <v>41649</v>
      </c>
      <c r="C21" s="29"/>
      <c r="D21" s="10"/>
      <c r="E21" s="29"/>
      <c r="F21" s="10"/>
      <c r="G21" s="29"/>
      <c r="H21" s="10"/>
      <c r="I21" s="29"/>
      <c r="J21" s="10"/>
      <c r="K21" s="29"/>
      <c r="L21" s="10"/>
      <c r="M21" s="29"/>
      <c r="N21" s="10"/>
      <c r="O21" s="39">
        <f>O20+Q20</f>
        <v>598057.432420264</v>
      </c>
      <c r="P21" s="10"/>
      <c r="Q21" s="29"/>
      <c r="S21" s="48">
        <f>S20+U20</f>
        <v>32945.340248558656</v>
      </c>
      <c r="T21" s="49"/>
      <c r="U21" s="50"/>
      <c r="W21" s="48">
        <f t="shared" si="11"/>
        <v>32097.730677204305</v>
      </c>
      <c r="X21" s="49"/>
      <c r="Y21" s="50"/>
      <c r="AA21" s="48">
        <f>AA20+AC20</f>
        <v>31263.01167707409</v>
      </c>
      <c r="AB21" s="49"/>
      <c r="AC21" s="50"/>
    </row>
    <row r="22" spans="1:29" ht="12.75">
      <c r="A22" s="6"/>
      <c r="C22" s="29"/>
      <c r="D22" s="10"/>
      <c r="E22" s="29"/>
      <c r="F22" s="10"/>
      <c r="G22" s="29"/>
      <c r="H22" s="10"/>
      <c r="I22" s="29"/>
      <c r="J22" s="10"/>
      <c r="K22" s="29"/>
      <c r="L22" s="10"/>
      <c r="M22" s="29"/>
      <c r="N22" s="10"/>
      <c r="O22" s="39"/>
      <c r="P22" s="11"/>
      <c r="Q22" s="33"/>
      <c r="S22" s="51"/>
      <c r="T22" s="16"/>
      <c r="U22" s="52"/>
      <c r="W22" s="51"/>
      <c r="X22" s="16"/>
      <c r="Y22" s="52"/>
      <c r="AA22" s="51"/>
      <c r="AB22" s="16"/>
      <c r="AC22" s="52"/>
    </row>
    <row r="23" spans="3:29" ht="16.5" customHeight="1">
      <c r="C23" s="19" t="s">
        <v>6</v>
      </c>
      <c r="D23" s="20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53"/>
      <c r="T23" s="54"/>
      <c r="U23" s="55"/>
      <c r="W23" s="51"/>
      <c r="X23" s="16"/>
      <c r="Y23" s="52"/>
      <c r="AA23" s="51"/>
      <c r="AB23" s="16"/>
      <c r="AC23" s="52"/>
    </row>
    <row r="24" spans="1:29" ht="12.75">
      <c r="A24" s="6">
        <f>_XLL.ДАТАМЕС(Данные!B7,0)</f>
        <v>41284</v>
      </c>
      <c r="C24" s="40">
        <f>C7+G7+O7</f>
        <v>600000</v>
      </c>
      <c r="D24" s="24">
        <f>A21-A9</f>
        <v>365</v>
      </c>
      <c r="E24" s="9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S24" s="39"/>
      <c r="T24" s="10"/>
      <c r="U24" s="29"/>
      <c r="W24" s="56"/>
      <c r="X24" s="10"/>
      <c r="Y24" s="37"/>
      <c r="AA24" s="56"/>
      <c r="AB24" s="10"/>
      <c r="AC24" s="37"/>
    </row>
    <row r="25" spans="1:29" ht="12.75">
      <c r="A25" s="6">
        <f>_XLL.ДАТАМЕС(Данные!B7,12)</f>
        <v>41649</v>
      </c>
      <c r="C25" s="41">
        <f>O21+S21+W21+AA21</f>
        <v>694363.5150231011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/>
      <c r="T25" s="10"/>
      <c r="U25" s="10"/>
      <c r="W25" s="57"/>
      <c r="X25" s="10"/>
      <c r="Y25" s="58"/>
      <c r="AA25" s="57"/>
      <c r="AB25" s="10"/>
      <c r="AC25" s="58"/>
    </row>
    <row r="26" spans="1:29" ht="12.75">
      <c r="A26" s="18" t="s">
        <v>1</v>
      </c>
      <c r="C26" s="42">
        <f>C25-C24</f>
        <v>94363.51502310112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  <c r="W26" s="59"/>
      <c r="X26" s="60"/>
      <c r="Y26" s="61"/>
      <c r="AA26" s="57"/>
      <c r="AB26" s="10"/>
      <c r="AC26" s="58"/>
    </row>
    <row r="27" spans="1:29" ht="12.75">
      <c r="A27" s="18" t="s">
        <v>8</v>
      </c>
      <c r="C27" s="45">
        <f>C26/C24</f>
        <v>0.15727252503850186</v>
      </c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W27" s="10"/>
      <c r="X27" s="10"/>
      <c r="Y27" s="10"/>
      <c r="AA27" s="57"/>
      <c r="AB27" s="10"/>
      <c r="AC27" s="58"/>
    </row>
    <row r="28" spans="1:29" ht="12.75">
      <c r="A28" s="6"/>
      <c r="AA28" s="57"/>
      <c r="AB28" s="10"/>
      <c r="AC28" s="58"/>
    </row>
    <row r="29" spans="1:29" ht="12.75">
      <c r="A29" s="6"/>
      <c r="AA29" s="59"/>
      <c r="AB29" s="60"/>
      <c r="AC29" s="61"/>
    </row>
    <row r="30" ht="12.75">
      <c r="A30" s="2"/>
    </row>
    <row r="31" ht="12.75">
      <c r="A31" s="2"/>
    </row>
    <row r="32" ht="12.75">
      <c r="A32" s="2"/>
    </row>
    <row r="33" spans="1:29" ht="12.75">
      <c r="A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/>
      <c r="T33"/>
      <c r="U33"/>
      <c r="W33"/>
      <c r="X33"/>
      <c r="Y33"/>
      <c r="AA33"/>
      <c r="AB33"/>
      <c r="AC33"/>
    </row>
  </sheetData>
  <sheetProtection/>
  <mergeCells count="3">
    <mergeCell ref="AA6:AC6"/>
    <mergeCell ref="W6:Y6"/>
    <mergeCell ref="S6:U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Roman,???????"&amp;12&amp;A</oddHeader>
    <oddFooter>&amp;C&amp;"Times New Roman,???????"&amp;12????????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0.140625" style="0" bestFit="1" customWidth="1"/>
    <col min="2" max="2" width="4.7109375" style="0" customWidth="1"/>
    <col min="3" max="3" width="12.57421875" style="4" customWidth="1"/>
    <col min="4" max="4" width="4.00390625" style="4" bestFit="1" customWidth="1"/>
    <col min="5" max="5" width="9.8515625" style="4" customWidth="1"/>
    <col min="6" max="6" width="4.7109375" style="4" customWidth="1"/>
    <col min="7" max="7" width="12.57421875" style="4" customWidth="1"/>
    <col min="8" max="8" width="4.00390625" style="4" customWidth="1"/>
    <col min="9" max="9" width="9.8515625" style="4" customWidth="1"/>
    <col min="10" max="10" width="4.7109375" style="4" customWidth="1"/>
    <col min="11" max="11" width="12.57421875" style="4" customWidth="1"/>
    <col min="12" max="12" width="4.00390625" style="4" customWidth="1"/>
    <col min="13" max="13" width="9.8515625" style="4" customWidth="1"/>
    <col min="14" max="14" width="4.7109375" style="4" customWidth="1"/>
    <col min="15" max="15" width="12.57421875" style="4" customWidth="1"/>
    <col min="16" max="16" width="4.00390625" style="4" customWidth="1"/>
    <col min="17" max="17" width="9.8515625" style="4" customWidth="1"/>
    <col min="18" max="18" width="5.140625" style="0" customWidth="1"/>
    <col min="19" max="19" width="12.57421875" style="4" customWidth="1"/>
    <col min="20" max="20" width="4.00390625" style="4" customWidth="1"/>
    <col min="21" max="21" width="9.8515625" style="4" customWidth="1"/>
    <col min="22" max="22" width="4.7109375" style="0" customWidth="1"/>
    <col min="23" max="23" width="12.57421875" style="4" customWidth="1"/>
    <col min="24" max="24" width="4.00390625" style="4" customWidth="1"/>
    <col min="25" max="25" width="9.8515625" style="4" customWidth="1"/>
    <col min="26" max="26" width="4.7109375" style="0" customWidth="1"/>
    <col min="27" max="27" width="12.57421875" style="4" customWidth="1"/>
    <col min="28" max="28" width="4.00390625" style="4" customWidth="1"/>
    <col min="29" max="29" width="9.8515625" style="4" customWidth="1"/>
  </cols>
  <sheetData>
    <row r="1" spans="1:27" ht="18">
      <c r="A1" s="8" t="s">
        <v>25</v>
      </c>
      <c r="B1" s="8"/>
      <c r="C1" s="8"/>
      <c r="D1" s="8"/>
      <c r="E1" s="8"/>
      <c r="F1" s="44"/>
      <c r="G1" s="8"/>
      <c r="H1" s="8"/>
      <c r="I1" s="8"/>
      <c r="J1" s="8"/>
      <c r="K1" s="8"/>
      <c r="L1" s="8"/>
      <c r="M1" s="8"/>
      <c r="N1" s="8"/>
      <c r="O1" s="8"/>
      <c r="S1" s="8"/>
      <c r="W1" s="8"/>
      <c r="AA1" s="8"/>
    </row>
    <row r="2" spans="1:27" ht="18">
      <c r="A2" s="25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S2" s="8"/>
      <c r="W2" s="8"/>
      <c r="AA2" s="8"/>
    </row>
    <row r="3" spans="1:27" ht="18">
      <c r="A3" s="25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W3" s="8"/>
      <c r="AA3" s="8"/>
    </row>
    <row r="4" spans="1:27" ht="18">
      <c r="A4" s="25" t="s">
        <v>35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S4" s="8"/>
      <c r="W4" s="8"/>
      <c r="AA4" s="8"/>
    </row>
    <row r="5" spans="1:27" ht="18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S5" s="8"/>
      <c r="W5" s="8"/>
      <c r="AA5" s="8"/>
    </row>
    <row r="6" spans="1:29" ht="29.25" customHeight="1">
      <c r="A6" s="8"/>
      <c r="B6" s="8"/>
      <c r="C6" s="73" t="s">
        <v>19</v>
      </c>
      <c r="D6" s="73"/>
      <c r="E6" s="73"/>
      <c r="F6" s="21"/>
      <c r="G6" s="73" t="s">
        <v>20</v>
      </c>
      <c r="H6" s="73"/>
      <c r="I6" s="73"/>
      <c r="J6" s="21"/>
      <c r="K6" s="73" t="s">
        <v>21</v>
      </c>
      <c r="L6" s="73"/>
      <c r="M6" s="73"/>
      <c r="N6" s="21"/>
      <c r="O6" s="19" t="s">
        <v>22</v>
      </c>
      <c r="P6" s="20"/>
      <c r="Q6" s="21"/>
      <c r="S6" s="73" t="s">
        <v>33</v>
      </c>
      <c r="T6" s="73"/>
      <c r="U6" s="73"/>
      <c r="W6" s="73" t="s">
        <v>32</v>
      </c>
      <c r="X6" s="73"/>
      <c r="Y6" s="73"/>
      <c r="AA6" s="73" t="s">
        <v>31</v>
      </c>
      <c r="AB6" s="73"/>
      <c r="AC6" s="73"/>
    </row>
    <row r="7" spans="1:29" ht="12.75">
      <c r="A7" s="1"/>
      <c r="C7" s="28">
        <f>Данные!B5-G7-K7-O7</f>
        <v>506639.25764572155</v>
      </c>
      <c r="D7" s="10"/>
      <c r="E7" s="13">
        <f>Данные!B12</f>
        <v>0.105</v>
      </c>
      <c r="F7" s="10"/>
      <c r="G7" s="35">
        <f>'12-месячные (первый год)'!W21</f>
        <v>32097.730677204305</v>
      </c>
      <c r="H7" s="10"/>
      <c r="I7" s="13">
        <f>Данные!B12</f>
        <v>0.105</v>
      </c>
      <c r="J7" s="10"/>
      <c r="K7" s="35">
        <f>'12-месячные (первый год)'!AA21</f>
        <v>31263.01167707409</v>
      </c>
      <c r="L7" s="10"/>
      <c r="M7" s="13">
        <f>Данные!B12</f>
        <v>0.105</v>
      </c>
      <c r="N7" s="10"/>
      <c r="O7" s="35">
        <f>Данные!$B$14</f>
        <v>30000</v>
      </c>
      <c r="P7" s="10"/>
      <c r="Q7" s="13">
        <f>Данные!B12</f>
        <v>0.105</v>
      </c>
      <c r="S7" s="35">
        <f>Данные!$B$14</f>
        <v>30000</v>
      </c>
      <c r="T7" s="10"/>
      <c r="U7" s="13">
        <f>Данные!$B$12</f>
        <v>0.105</v>
      </c>
      <c r="W7" s="35">
        <f>Данные!$B$14</f>
        <v>30000</v>
      </c>
      <c r="X7" s="10"/>
      <c r="Y7" s="13">
        <f>Данные!$B$12</f>
        <v>0.105</v>
      </c>
      <c r="AA7" s="35">
        <f>Данные!$B$14</f>
        <v>30000</v>
      </c>
      <c r="AB7" s="10"/>
      <c r="AC7" s="13">
        <f>Данные!$B$12</f>
        <v>0.105</v>
      </c>
    </row>
    <row r="8" spans="3:29" ht="12.75">
      <c r="C8" s="29"/>
      <c r="D8" s="10"/>
      <c r="E8" s="29"/>
      <c r="F8" s="10"/>
      <c r="G8" s="29"/>
      <c r="H8" s="10"/>
      <c r="I8" s="10"/>
      <c r="J8" s="10"/>
      <c r="K8" s="29"/>
      <c r="L8" s="10"/>
      <c r="M8" s="10"/>
      <c r="N8" s="10"/>
      <c r="O8" s="29"/>
      <c r="P8" s="10"/>
      <c r="Q8" s="10"/>
      <c r="S8" s="29"/>
      <c r="T8" s="10"/>
      <c r="U8" s="10"/>
      <c r="W8" s="29"/>
      <c r="X8" s="10"/>
      <c r="Y8" s="10"/>
      <c r="AA8" s="29"/>
      <c r="AB8" s="10"/>
      <c r="AC8" s="10"/>
    </row>
    <row r="9" spans="1:29" ht="12.75">
      <c r="A9" s="7">
        <f>_XLL.ДАТАМЕС(Данные!B7,12)</f>
        <v>41649</v>
      </c>
      <c r="C9" s="30">
        <f>(C7-S21)*1.015+S21</f>
        <v>513744.66640667897</v>
      </c>
      <c r="D9" s="22">
        <f>A10-A9</f>
        <v>31</v>
      </c>
      <c r="E9" s="36">
        <f>C9*E$7/(DAY(DATE(YEAR($A9),3,0))+337)*(DAY(DATE(YEAR($A9),MONTH($A9)+1,0)-$A9))+C9*(E$7/(DAY(DATE(YEAR($A10),3,0))+337)*DAY($A10))</f>
        <v>4581.476408640383</v>
      </c>
      <c r="F9" s="10"/>
      <c r="G9" s="30">
        <f>G7</f>
        <v>32097.730677204305</v>
      </c>
      <c r="H9" s="22">
        <f>A10-A9</f>
        <v>31</v>
      </c>
      <c r="I9" s="36">
        <f aca="true" t="shared" si="0" ref="I9:I14">G9*I$7/(DAY(DATE(YEAR($A9),3,0))+337)*(DAY(DATE(YEAR($A9),MONTH($A9)+1,0)-$A9))+G9*(I$7/(DAY(DATE(YEAR($A10),3,0))+337)*DAY($A10))</f>
        <v>286.241406450137</v>
      </c>
      <c r="J9" s="10"/>
      <c r="K9" s="30">
        <f>K7</f>
        <v>31263.01167707409</v>
      </c>
      <c r="L9" s="22">
        <f aca="true" t="shared" si="1" ref="L9:L17">A10-A9</f>
        <v>31</v>
      </c>
      <c r="M9" s="36">
        <f aca="true" t="shared" si="2" ref="M9:M17">K9*M$7/(DAY(DATE(YEAR($A9),3,0))+337)*(DAY(DATE(YEAR($A9),MONTH($A9)+1,0)-$A9))+K9*(M$7/(DAY(DATE(YEAR($A10),3,0))+337)*DAY($A10))</f>
        <v>278.79754249007163</v>
      </c>
      <c r="N9" s="10"/>
      <c r="O9" s="30">
        <f>O7*1.015</f>
        <v>30449.999999999996</v>
      </c>
      <c r="P9" s="22">
        <f aca="true" t="shared" si="3" ref="P9:P20">A10-A9</f>
        <v>31</v>
      </c>
      <c r="Q9" s="36">
        <f aca="true" t="shared" si="4" ref="Q9:Q20">O9*Q$7/(DAY(DATE(YEAR($A9),3,0))+337)*(DAY(DATE(YEAR($A9),MONTH($A9)+1,0)-$A9))+O9*(Q$7/(DAY(DATE(YEAR($A10),3,0))+337)*DAY($A10))</f>
        <v>271.54726027397254</v>
      </c>
      <c r="S9"/>
      <c r="T9"/>
      <c r="U9"/>
      <c r="W9"/>
      <c r="X9"/>
      <c r="Y9"/>
      <c r="AA9"/>
      <c r="AB9"/>
      <c r="AC9"/>
    </row>
    <row r="10" spans="1:29" ht="12.75">
      <c r="A10" s="6">
        <f>_XLL.ДАТАМЕС(Данные!B7,13)</f>
        <v>41680</v>
      </c>
      <c r="C10" s="31">
        <f>C9+E9</f>
        <v>518326.14281531936</v>
      </c>
      <c r="D10" s="14">
        <f>A11-A10</f>
        <v>28</v>
      </c>
      <c r="E10" s="37">
        <f>C10*E$7/(DAY(DATE(YEAR($A10),3,0))+337)*(DAY(DATE(YEAR($A10),MONTH($A10)+1,0)-$A10))+C10*(E$7/(DAY(DATE(YEAR($A11),3,0))+337)*DAY($A11))</f>
        <v>4175.010575005586</v>
      </c>
      <c r="F10" s="10"/>
      <c r="G10" s="31">
        <f>G9+I9</f>
        <v>32383.97208365444</v>
      </c>
      <c r="H10" s="14">
        <f>A11-A10</f>
        <v>28</v>
      </c>
      <c r="I10" s="37">
        <f t="shared" si="0"/>
        <v>260.8462408929974</v>
      </c>
      <c r="J10" s="10"/>
      <c r="K10" s="31">
        <f>K9+M9</f>
        <v>31541.809219564162</v>
      </c>
      <c r="L10" s="14">
        <f t="shared" si="1"/>
        <v>28</v>
      </c>
      <c r="M10" s="37">
        <f t="shared" si="2"/>
        <v>254.06279206991405</v>
      </c>
      <c r="N10" s="10"/>
      <c r="O10" s="31">
        <f>O9+Q9</f>
        <v>30721.54726027397</v>
      </c>
      <c r="P10" s="14">
        <f t="shared" si="3"/>
        <v>28</v>
      </c>
      <c r="Q10" s="37">
        <f t="shared" si="4"/>
        <v>247.45575053480948</v>
      </c>
      <c r="S10"/>
      <c r="T10"/>
      <c r="U10"/>
      <c r="W10"/>
      <c r="X10"/>
      <c r="Y10"/>
      <c r="AA10"/>
      <c r="AB10"/>
      <c r="AC10"/>
    </row>
    <row r="11" spans="1:29" ht="12.75">
      <c r="A11" s="6">
        <f>_XLL.ДАТАМЕС(Данные!B7,14)</f>
        <v>41708</v>
      </c>
      <c r="C11" s="32">
        <f>C10+E10</f>
        <v>522501.15339032497</v>
      </c>
      <c r="D11" s="23">
        <f>A12-A11</f>
        <v>31</v>
      </c>
      <c r="E11" s="38">
        <f>C11*E$7/(DAY(DATE(YEAR($A11),3,0))+337)*(DAY(DATE(YEAR($A11),MONTH($A11)+1,0)-$A11))+C11*(E$7/(DAY(DATE(YEAR($A12),3,0))+337)*DAY($A12))</f>
        <v>4659.565080234268</v>
      </c>
      <c r="F11" s="10"/>
      <c r="G11" s="31">
        <f>G10+I10</f>
        <v>32644.81832454744</v>
      </c>
      <c r="H11" s="14">
        <f>A12-A11</f>
        <v>31</v>
      </c>
      <c r="I11" s="37">
        <f t="shared" si="0"/>
        <v>291.1202291682244</v>
      </c>
      <c r="J11" s="10"/>
      <c r="K11" s="31">
        <f>K10+M10</f>
        <v>31795.872011634077</v>
      </c>
      <c r="L11" s="14">
        <f t="shared" si="1"/>
        <v>31</v>
      </c>
      <c r="M11" s="37">
        <f t="shared" si="2"/>
        <v>283.5494887612847</v>
      </c>
      <c r="N11" s="10"/>
      <c r="O11" s="31">
        <f aca="true" t="shared" si="5" ref="O11:O17">O10+Q10</f>
        <v>30969.003010808778</v>
      </c>
      <c r="P11" s="14">
        <f t="shared" si="3"/>
        <v>31</v>
      </c>
      <c r="Q11" s="37">
        <f t="shared" si="4"/>
        <v>276.1756295895413</v>
      </c>
      <c r="S11"/>
      <c r="T11"/>
      <c r="U11"/>
      <c r="W11"/>
      <c r="X11"/>
      <c r="Y11"/>
      <c r="AA11"/>
      <c r="AB11"/>
      <c r="AC11"/>
    </row>
    <row r="12" spans="1:29" ht="12.75">
      <c r="A12" s="6">
        <f>_XLL.ДАТАМЕС(Данные!B7,15)</f>
        <v>41739</v>
      </c>
      <c r="C12" s="33">
        <f>C11+E11</f>
        <v>527160.7184705592</v>
      </c>
      <c r="D12" s="11"/>
      <c r="E12" s="33"/>
      <c r="F12" s="10"/>
      <c r="G12" s="43">
        <f>G11+I11+(C12-S7)*1.015</f>
        <v>537554.0678013333</v>
      </c>
      <c r="H12" s="14">
        <f>$A13-$A12</f>
        <v>30</v>
      </c>
      <c r="I12" s="37">
        <f t="shared" si="0"/>
        <v>4639.16524266904</v>
      </c>
      <c r="J12" s="10"/>
      <c r="K12" s="31">
        <f>K11+M11</f>
        <v>32079.42150039536</v>
      </c>
      <c r="L12" s="14">
        <f t="shared" si="1"/>
        <v>30</v>
      </c>
      <c r="M12" s="37">
        <f t="shared" si="2"/>
        <v>276.84980198971334</v>
      </c>
      <c r="N12" s="10"/>
      <c r="O12" s="31">
        <f t="shared" si="5"/>
        <v>31245.17864039832</v>
      </c>
      <c r="P12" s="14">
        <f t="shared" si="3"/>
        <v>30</v>
      </c>
      <c r="Q12" s="37">
        <f t="shared" si="4"/>
        <v>269.65017182809504</v>
      </c>
      <c r="S12" s="30">
        <f>S$7*1.015</f>
        <v>30449.999999999996</v>
      </c>
      <c r="T12" s="22">
        <f aca="true" t="shared" si="6" ref="T12:T20">$A13-$A12</f>
        <v>30</v>
      </c>
      <c r="U12" s="36">
        <f aca="true" t="shared" si="7" ref="U12:U20">S12*U$7/(DAY(DATE(YEAR($A12),3,0))+337)*(DAY(DATE(YEAR($A12),MONTH($A12)+1,0)-$A12))+S12*(U$7/(DAY(DATE(YEAR($A13),3,0))+337)*DAY($A13))</f>
        <v>262.7876712328767</v>
      </c>
      <c r="W12"/>
      <c r="X12"/>
      <c r="Y12"/>
      <c r="AA12"/>
      <c r="AB12"/>
      <c r="AC12"/>
    </row>
    <row r="13" spans="1:29" ht="12.75">
      <c r="A13" s="6">
        <f>_XLL.ДАТАМЕС(Данные!B7,16)</f>
        <v>41769</v>
      </c>
      <c r="C13" s="29"/>
      <c r="D13" s="10"/>
      <c r="E13" s="29"/>
      <c r="F13" s="10"/>
      <c r="G13" s="31">
        <f>G12+I12</f>
        <v>542193.2330440023</v>
      </c>
      <c r="H13" s="14">
        <f>A14-A13</f>
        <v>31</v>
      </c>
      <c r="I13" s="37">
        <f t="shared" si="0"/>
        <v>4835.175270022541</v>
      </c>
      <c r="J13" s="10"/>
      <c r="K13" s="31">
        <f>K12+M12</f>
        <v>32356.271302385074</v>
      </c>
      <c r="L13" s="14">
        <f t="shared" si="1"/>
        <v>31</v>
      </c>
      <c r="M13" s="37">
        <f t="shared" si="2"/>
        <v>288.54702216236547</v>
      </c>
      <c r="N13" s="10"/>
      <c r="O13" s="31">
        <f t="shared" si="5"/>
        <v>31514.828812226417</v>
      </c>
      <c r="P13" s="14">
        <f t="shared" si="3"/>
        <v>31</v>
      </c>
      <c r="Q13" s="37">
        <f t="shared" si="4"/>
        <v>281.043199407663</v>
      </c>
      <c r="S13" s="31">
        <f>S12+U12</f>
        <v>30712.787671232873</v>
      </c>
      <c r="T13" s="14">
        <f t="shared" si="6"/>
        <v>31</v>
      </c>
      <c r="U13" s="37">
        <f t="shared" si="7"/>
        <v>273.89075032839173</v>
      </c>
      <c r="W13"/>
      <c r="X13"/>
      <c r="Y13"/>
      <c r="AA13"/>
      <c r="AB13"/>
      <c r="AC13"/>
    </row>
    <row r="14" spans="1:29" ht="12.75">
      <c r="A14" s="6">
        <f>_XLL.ДАТАМЕС(Данные!B7,17)</f>
        <v>41800</v>
      </c>
      <c r="C14" s="29"/>
      <c r="D14" s="10"/>
      <c r="E14" s="29"/>
      <c r="F14" s="10"/>
      <c r="G14" s="32">
        <f>G13+I13</f>
        <v>547028.4083140249</v>
      </c>
      <c r="H14" s="23">
        <f>A15-A14</f>
        <v>30</v>
      </c>
      <c r="I14" s="38">
        <f t="shared" si="0"/>
        <v>4720.930099148434</v>
      </c>
      <c r="J14" s="10"/>
      <c r="K14" s="31">
        <f>K13+M13</f>
        <v>32644.81832454744</v>
      </c>
      <c r="L14" s="14">
        <f t="shared" si="1"/>
        <v>30</v>
      </c>
      <c r="M14" s="37">
        <f t="shared" si="2"/>
        <v>281.7292540337656</v>
      </c>
      <c r="N14" s="10"/>
      <c r="O14" s="31">
        <f t="shared" si="5"/>
        <v>31795.87201163408</v>
      </c>
      <c r="P14" s="14">
        <f t="shared" si="3"/>
        <v>30</v>
      </c>
      <c r="Q14" s="37">
        <f t="shared" si="4"/>
        <v>274.4027310593078</v>
      </c>
      <c r="S14" s="31">
        <f aca="true" t="shared" si="8" ref="S14:S20">S13+U13</f>
        <v>30986.678421561264</v>
      </c>
      <c r="T14" s="14">
        <f t="shared" si="6"/>
        <v>30</v>
      </c>
      <c r="U14" s="37">
        <f t="shared" si="7"/>
        <v>267.4192795285424</v>
      </c>
      <c r="W14"/>
      <c r="X14"/>
      <c r="Y14"/>
      <c r="AA14"/>
      <c r="AB14"/>
      <c r="AC14"/>
    </row>
    <row r="15" spans="1:29" ht="12.75">
      <c r="A15" s="6">
        <f>_XLL.ДАТАМЕС(Данные!B7,18)</f>
        <v>41830</v>
      </c>
      <c r="C15" s="29"/>
      <c r="D15" s="10"/>
      <c r="E15" s="29"/>
      <c r="F15" s="10"/>
      <c r="G15" s="33">
        <f>G14+I14</f>
        <v>551749.3384131733</v>
      </c>
      <c r="H15" s="11"/>
      <c r="I15" s="33"/>
      <c r="J15" s="10"/>
      <c r="K15" s="31">
        <f>K14+M14+(G15-W7)*1.015</f>
        <v>562502.126067952</v>
      </c>
      <c r="L15" s="14">
        <f t="shared" si="1"/>
        <v>31</v>
      </c>
      <c r="M15" s="37">
        <f t="shared" si="2"/>
        <v>5016.286083153927</v>
      </c>
      <c r="N15" s="10"/>
      <c r="O15" s="31">
        <f t="shared" si="5"/>
        <v>32070.27474269339</v>
      </c>
      <c r="P15" s="14">
        <f t="shared" si="3"/>
        <v>31</v>
      </c>
      <c r="Q15" s="37">
        <f t="shared" si="4"/>
        <v>285.9965596916904</v>
      </c>
      <c r="S15" s="31">
        <f t="shared" si="8"/>
        <v>31254.097701089806</v>
      </c>
      <c r="T15" s="14">
        <f t="shared" si="6"/>
        <v>31</v>
      </c>
      <c r="U15" s="37">
        <f t="shared" si="7"/>
        <v>278.71804936177347</v>
      </c>
      <c r="W15" s="30">
        <f>W$7*1.015</f>
        <v>30449.999999999996</v>
      </c>
      <c r="X15" s="22">
        <f aca="true" t="shared" si="9" ref="X15:X20">$A16-$A15</f>
        <v>31</v>
      </c>
      <c r="Y15" s="36">
        <f aca="true" t="shared" si="10" ref="Y15:Y20">W15*Y$7/(DAY(DATE(YEAR($A15),3,0))+337)*(DAY(DATE(YEAR($A15),MONTH($A15)+1,0)-$A15))+W15*(Y$7/(DAY(DATE(YEAR($A16),3,0))+337)*DAY($A16))</f>
        <v>271.54726027397254</v>
      </c>
      <c r="AA15"/>
      <c r="AB15"/>
      <c r="AC15"/>
    </row>
    <row r="16" spans="1:29" ht="12.75">
      <c r="A16" s="6">
        <f>_XLL.ДАТАМЕС(Данные!B7,19)</f>
        <v>41861</v>
      </c>
      <c r="C16" s="29"/>
      <c r="D16" s="10"/>
      <c r="E16" s="29"/>
      <c r="F16" s="10"/>
      <c r="G16" s="29"/>
      <c r="H16" s="10"/>
      <c r="I16" s="29"/>
      <c r="J16" s="10"/>
      <c r="K16" s="31">
        <f>K15+M15</f>
        <v>567518.4121511059</v>
      </c>
      <c r="L16" s="14">
        <f t="shared" si="1"/>
        <v>31</v>
      </c>
      <c r="M16" s="37">
        <f t="shared" si="2"/>
        <v>5061.020360416027</v>
      </c>
      <c r="N16" s="10"/>
      <c r="O16" s="31">
        <f t="shared" si="5"/>
        <v>32356.27130238508</v>
      </c>
      <c r="P16" s="14">
        <f t="shared" si="3"/>
        <v>31</v>
      </c>
      <c r="Q16" s="37">
        <f t="shared" si="4"/>
        <v>288.5470221623656</v>
      </c>
      <c r="S16" s="31">
        <f t="shared" si="8"/>
        <v>31532.81575045158</v>
      </c>
      <c r="T16" s="14">
        <f t="shared" si="6"/>
        <v>31</v>
      </c>
      <c r="U16" s="37">
        <f t="shared" si="7"/>
        <v>281.20360347320513</v>
      </c>
      <c r="W16" s="31">
        <f aca="true" t="shared" si="11" ref="W16:W21">W15+Y15</f>
        <v>30721.54726027397</v>
      </c>
      <c r="X16" s="14">
        <f t="shared" si="9"/>
        <v>31</v>
      </c>
      <c r="Y16" s="37">
        <f t="shared" si="10"/>
        <v>273.9688666635391</v>
      </c>
      <c r="AA16"/>
      <c r="AB16"/>
      <c r="AC16"/>
    </row>
    <row r="17" spans="1:29" ht="12.75">
      <c r="A17" s="6">
        <f>_XLL.ДАТАМЕС(Данные!B7,20)</f>
        <v>41892</v>
      </c>
      <c r="C17" s="29"/>
      <c r="D17" s="10"/>
      <c r="E17" s="29"/>
      <c r="F17" s="10"/>
      <c r="G17" s="29"/>
      <c r="H17" s="10"/>
      <c r="I17" s="29"/>
      <c r="J17" s="10"/>
      <c r="K17" s="32">
        <f>K16+M16</f>
        <v>572579.432511522</v>
      </c>
      <c r="L17" s="23">
        <f t="shared" si="1"/>
        <v>30</v>
      </c>
      <c r="M17" s="38">
        <f t="shared" si="2"/>
        <v>4941.438938113135</v>
      </c>
      <c r="N17" s="10"/>
      <c r="O17" s="31">
        <f t="shared" si="5"/>
        <v>32644.818324547447</v>
      </c>
      <c r="P17" s="14">
        <f t="shared" si="3"/>
        <v>30</v>
      </c>
      <c r="Q17" s="37">
        <f t="shared" si="4"/>
        <v>281.72925403376564</v>
      </c>
      <c r="S17" s="31">
        <f t="shared" si="8"/>
        <v>31814.019353924785</v>
      </c>
      <c r="T17" s="14">
        <f t="shared" si="6"/>
        <v>30</v>
      </c>
      <c r="U17" s="37">
        <f t="shared" si="7"/>
        <v>274.5593451092139</v>
      </c>
      <c r="W17" s="31">
        <f t="shared" si="11"/>
        <v>30995.516126937506</v>
      </c>
      <c r="X17" s="14">
        <f t="shared" si="9"/>
        <v>30</v>
      </c>
      <c r="Y17" s="37">
        <f t="shared" si="10"/>
        <v>267.4955501365839</v>
      </c>
      <c r="AA17"/>
      <c r="AB17"/>
      <c r="AC17"/>
    </row>
    <row r="18" spans="1:29" ht="12.75">
      <c r="A18" s="6">
        <f>_XLL.ДАТАМЕС(Данные!B7,21)</f>
        <v>41922</v>
      </c>
      <c r="C18" s="29"/>
      <c r="D18" s="10"/>
      <c r="E18" s="29"/>
      <c r="F18" s="10"/>
      <c r="G18" s="29"/>
      <c r="H18" s="10"/>
      <c r="I18" s="29"/>
      <c r="J18" s="10"/>
      <c r="K18" s="33">
        <f>K17+M17</f>
        <v>577520.8714496351</v>
      </c>
      <c r="L18" s="10"/>
      <c r="M18" s="29"/>
      <c r="N18" s="10"/>
      <c r="O18" s="31">
        <f>O17+Q17+(K18-AA7)*1.015</f>
        <v>588660.2320999609</v>
      </c>
      <c r="P18" s="14">
        <f t="shared" si="3"/>
        <v>31</v>
      </c>
      <c r="Q18" s="37">
        <f t="shared" si="4"/>
        <v>5249.559056124309</v>
      </c>
      <c r="S18" s="31">
        <f t="shared" si="8"/>
        <v>32088.578699034</v>
      </c>
      <c r="T18" s="14">
        <f t="shared" si="6"/>
        <v>31</v>
      </c>
      <c r="U18" s="37">
        <f t="shared" si="7"/>
        <v>286.1597908639881</v>
      </c>
      <c r="W18" s="31">
        <f t="shared" si="11"/>
        <v>31263.01167707409</v>
      </c>
      <c r="X18" s="14">
        <f t="shared" si="9"/>
        <v>31</v>
      </c>
      <c r="Y18" s="37">
        <f t="shared" si="10"/>
        <v>278.79754249007163</v>
      </c>
      <c r="AA18" s="30">
        <f>AA$7*1.015</f>
        <v>30449.999999999996</v>
      </c>
      <c r="AB18" s="22">
        <f>$A19-$A18</f>
        <v>31</v>
      </c>
      <c r="AC18" s="36">
        <f>AA18*AC$7/(DAY(DATE(YEAR($A18),3,0))+337)*(DAY(DATE(YEAR($A18),MONTH($A18)+1,0)-$A18))+AA18*(AC$7/(DAY(DATE(YEAR($A19),3,0))+337)*DAY($A19))</f>
        <v>271.54726027397254</v>
      </c>
    </row>
    <row r="19" spans="1:29" ht="12.75">
      <c r="A19" s="6">
        <f>_XLL.ДАТАМЕС(Данные!B7,22)</f>
        <v>41953</v>
      </c>
      <c r="C19" s="29"/>
      <c r="D19" s="10"/>
      <c r="E19" s="29"/>
      <c r="F19" s="10"/>
      <c r="G19" s="29"/>
      <c r="H19" s="10"/>
      <c r="I19" s="29"/>
      <c r="J19" s="10"/>
      <c r="K19" s="29"/>
      <c r="L19" s="5"/>
      <c r="M19" s="29"/>
      <c r="N19" s="10"/>
      <c r="O19" s="31">
        <f>O18+Q18</f>
        <v>593909.7911560852</v>
      </c>
      <c r="P19" s="14">
        <f t="shared" si="3"/>
        <v>30</v>
      </c>
      <c r="Q19" s="37">
        <f t="shared" si="4"/>
        <v>5125.522855182653</v>
      </c>
      <c r="S19" s="31">
        <f t="shared" si="8"/>
        <v>32374.738489897987</v>
      </c>
      <c r="T19" s="14">
        <f t="shared" si="6"/>
        <v>30</v>
      </c>
      <c r="U19" s="37">
        <f t="shared" si="7"/>
        <v>279.39842806350316</v>
      </c>
      <c r="W19" s="31">
        <f t="shared" si="11"/>
        <v>31541.809219564162</v>
      </c>
      <c r="X19" s="14">
        <f t="shared" si="9"/>
        <v>30</v>
      </c>
      <c r="Y19" s="37">
        <f t="shared" si="10"/>
        <v>272.2101343606222</v>
      </c>
      <c r="AA19" s="31">
        <f>AA18+AC18</f>
        <v>30721.54726027397</v>
      </c>
      <c r="AB19" s="14">
        <f>$A20-$A19</f>
        <v>30</v>
      </c>
      <c r="AC19" s="37">
        <f>AA19*AC$7/(DAY(DATE(YEAR($A19),3,0))+337)*(DAY(DATE(YEAR($A19),MONTH($A19)+1,0)-$A19))+AA19*(AC$7/(DAY(DATE(YEAR($A20),3,0))+337)*DAY($A20))</f>
        <v>265.13116128729587</v>
      </c>
    </row>
    <row r="20" spans="1:29" ht="12.75">
      <c r="A20" s="6">
        <f>_XLL.ДАТАМЕС(Данные!B7,23)</f>
        <v>41983</v>
      </c>
      <c r="C20" s="29"/>
      <c r="D20" s="10"/>
      <c r="E20" s="29"/>
      <c r="F20" s="10"/>
      <c r="G20" s="29"/>
      <c r="H20" s="10"/>
      <c r="I20" s="29"/>
      <c r="J20" s="10"/>
      <c r="K20" s="29"/>
      <c r="L20" s="10"/>
      <c r="M20" s="29"/>
      <c r="N20" s="10"/>
      <c r="O20" s="32">
        <f>O19+Q19</f>
        <v>599035.3140112679</v>
      </c>
      <c r="P20" s="23">
        <f t="shared" si="3"/>
        <v>31</v>
      </c>
      <c r="Q20" s="38">
        <f t="shared" si="4"/>
        <v>5342.082046867608</v>
      </c>
      <c r="S20" s="32">
        <f t="shared" si="8"/>
        <v>32654.136917961492</v>
      </c>
      <c r="T20" s="23">
        <f t="shared" si="6"/>
        <v>31</v>
      </c>
      <c r="U20" s="38">
        <f t="shared" si="7"/>
        <v>291.2033305971634</v>
      </c>
      <c r="W20" s="32">
        <f t="shared" si="11"/>
        <v>31814.019353924785</v>
      </c>
      <c r="X20" s="23">
        <f t="shared" si="9"/>
        <v>31</v>
      </c>
      <c r="Y20" s="38">
        <f t="shared" si="10"/>
        <v>283.711323279521</v>
      </c>
      <c r="AA20" s="32">
        <f>AA19+AC19</f>
        <v>30986.678421561264</v>
      </c>
      <c r="AB20" s="23">
        <f>$A21-$A20</f>
        <v>31</v>
      </c>
      <c r="AC20" s="38">
        <f>AA20*AC$7/(DAY(DATE(YEAR($A20),3,0))+337)*(DAY(DATE(YEAR($A20),MONTH($A20)+1,0)-$A20))+AA20*(AC$7/(DAY(DATE(YEAR($A21),3,0))+337)*DAY($A21))</f>
        <v>276.3332555128271</v>
      </c>
    </row>
    <row r="21" spans="1:29" ht="12.75">
      <c r="A21" s="6">
        <f>_XLL.ДАТАМЕС(Данные!B7,24)</f>
        <v>42014</v>
      </c>
      <c r="C21" s="29"/>
      <c r="D21" s="10"/>
      <c r="E21" s="29"/>
      <c r="F21" s="10"/>
      <c r="G21" s="29"/>
      <c r="H21" s="10"/>
      <c r="I21" s="29"/>
      <c r="J21" s="10"/>
      <c r="K21" s="29"/>
      <c r="L21" s="10"/>
      <c r="M21" s="29"/>
      <c r="N21" s="10"/>
      <c r="O21" s="39">
        <f>O20+Q20</f>
        <v>604377.3960581354</v>
      </c>
      <c r="P21" s="10"/>
      <c r="Q21" s="29"/>
      <c r="S21" s="48">
        <f>S20+U20</f>
        <v>32945.340248558656</v>
      </c>
      <c r="T21" s="49"/>
      <c r="U21" s="50"/>
      <c r="W21" s="48">
        <f t="shared" si="11"/>
        <v>32097.730677204305</v>
      </c>
      <c r="X21" s="49"/>
      <c r="Y21" s="50"/>
      <c r="AA21" s="48">
        <f>AA20+AC20</f>
        <v>31263.01167707409</v>
      </c>
      <c r="AB21" s="49"/>
      <c r="AC21" s="50"/>
    </row>
    <row r="22" spans="1:29" ht="12.75">
      <c r="A22" s="6"/>
      <c r="C22" s="29"/>
      <c r="D22" s="10"/>
      <c r="E22" s="29"/>
      <c r="F22" s="10"/>
      <c r="G22" s="29"/>
      <c r="H22" s="10"/>
      <c r="I22" s="29"/>
      <c r="J22" s="10"/>
      <c r="K22" s="29"/>
      <c r="L22" s="10"/>
      <c r="M22" s="29"/>
      <c r="N22" s="10"/>
      <c r="O22" s="39"/>
      <c r="P22" s="11"/>
      <c r="Q22" s="33"/>
      <c r="S22" s="51"/>
      <c r="T22" s="16"/>
      <c r="U22" s="52"/>
      <c r="W22" s="51"/>
      <c r="X22" s="16"/>
      <c r="Y22" s="52"/>
      <c r="AA22" s="51"/>
      <c r="AB22" s="16"/>
      <c r="AC22" s="52"/>
    </row>
    <row r="23" spans="3:29" ht="16.5" customHeight="1">
      <c r="C23" s="19" t="s">
        <v>6</v>
      </c>
      <c r="D23" s="20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53"/>
      <c r="T23" s="54"/>
      <c r="U23" s="55"/>
      <c r="W23" s="51"/>
      <c r="X23" s="16"/>
      <c r="Y23" s="52"/>
      <c r="AA23" s="51"/>
      <c r="AB23" s="16"/>
      <c r="AC23" s="52"/>
    </row>
    <row r="24" spans="1:29" ht="12.75">
      <c r="A24" s="6">
        <f>_XLL.ДАТАМЕС(Данные!B7,0)</f>
        <v>41284</v>
      </c>
      <c r="C24" s="40">
        <f>C7+G7+K7+O7</f>
        <v>600000</v>
      </c>
      <c r="D24" s="24">
        <f>A21-A9</f>
        <v>365</v>
      </c>
      <c r="E24" s="9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S24" s="39"/>
      <c r="T24" s="10"/>
      <c r="U24" s="29"/>
      <c r="W24" s="56"/>
      <c r="X24" s="10"/>
      <c r="Y24" s="37"/>
      <c r="AA24" s="56"/>
      <c r="AB24" s="10"/>
      <c r="AC24" s="37"/>
    </row>
    <row r="25" spans="1:29" ht="12.75">
      <c r="A25" s="6">
        <f>_XLL.ДАТАМЕС(Данные!B7,12)</f>
        <v>41649</v>
      </c>
      <c r="C25" s="41">
        <f>O21+S21+W21+AA21</f>
        <v>700683.4786609726</v>
      </c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/>
      <c r="T25" s="10"/>
      <c r="U25" s="10"/>
      <c r="W25" s="57"/>
      <c r="X25" s="10"/>
      <c r="Y25" s="58"/>
      <c r="AA25" s="57"/>
      <c r="AB25" s="10"/>
      <c r="AC25" s="58"/>
    </row>
    <row r="26" spans="1:29" ht="12.75">
      <c r="A26" s="18" t="s">
        <v>1</v>
      </c>
      <c r="C26" s="42">
        <f>C25-C24</f>
        <v>100683.47866097256</v>
      </c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S26" s="10"/>
      <c r="T26" s="10"/>
      <c r="U26" s="10"/>
      <c r="W26" s="59"/>
      <c r="X26" s="60"/>
      <c r="Y26" s="61"/>
      <c r="AA26" s="57"/>
      <c r="AB26" s="10"/>
      <c r="AC26" s="58"/>
    </row>
    <row r="27" spans="1:29" ht="12.75">
      <c r="A27" s="18" t="s">
        <v>8</v>
      </c>
      <c r="C27" s="45">
        <f>C26/C24</f>
        <v>0.1678057977682876</v>
      </c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S27" s="10"/>
      <c r="T27" s="10"/>
      <c r="U27" s="10"/>
      <c r="W27" s="10"/>
      <c r="X27" s="10"/>
      <c r="Y27" s="10"/>
      <c r="AA27" s="57"/>
      <c r="AB27" s="10"/>
      <c r="AC27" s="58"/>
    </row>
    <row r="28" spans="1:29" ht="12.75">
      <c r="A28" s="6"/>
      <c r="AA28" s="57"/>
      <c r="AB28" s="10"/>
      <c r="AC28" s="58"/>
    </row>
    <row r="29" spans="1:29" ht="12.75">
      <c r="A29" s="6"/>
      <c r="AA29" s="59"/>
      <c r="AB29" s="60"/>
      <c r="AC29" s="61"/>
    </row>
    <row r="30" ht="12.75">
      <c r="A30" s="2"/>
    </row>
    <row r="31" ht="12.75">
      <c r="A31" s="2"/>
    </row>
    <row r="32" ht="12.75">
      <c r="A32" s="2"/>
    </row>
    <row r="33" spans="1:29" ht="12.75">
      <c r="A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/>
      <c r="T33"/>
      <c r="U33"/>
      <c r="W33"/>
      <c r="X33"/>
      <c r="Y33"/>
      <c r="AA33"/>
      <c r="AB33"/>
      <c r="AC33"/>
    </row>
  </sheetData>
  <sheetProtection/>
  <mergeCells count="6">
    <mergeCell ref="C6:E6"/>
    <mergeCell ref="G6:I6"/>
    <mergeCell ref="K6:M6"/>
    <mergeCell ref="S6:U6"/>
    <mergeCell ref="W6:Y6"/>
    <mergeCell ref="AA6:A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Roman,???????"&amp;12&amp;A</oddHeader>
    <oddFooter>&amp;C&amp;"Times New Roman,???????"&amp;12????????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dcterms:created xsi:type="dcterms:W3CDTF">2011-07-21T18:29:07Z</dcterms:created>
  <dcterms:modified xsi:type="dcterms:W3CDTF">2013-01-12T11:38:31Z</dcterms:modified>
  <cp:category/>
  <cp:version/>
  <cp:contentType/>
  <cp:contentStatus/>
</cp:coreProperties>
</file>